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local\fichier a envoyer\Mutuelle\"/>
    </mc:Choice>
  </mc:AlternateContent>
  <xr:revisionPtr revIDLastSave="0" documentId="8_{46517B13-FB01-4990-950C-036A5F7A16A1}" xr6:coauthVersionLast="47" xr6:coauthVersionMax="47" xr10:uidLastSave="{00000000-0000-0000-0000-000000000000}"/>
  <bookViews>
    <workbookView xWindow="28680" yWindow="-120" windowWidth="29040" windowHeight="17520" tabRatio="896" firstSheet="11" activeTab="11" xr2:uid="{00000000-000D-0000-FFFF-FFFF00000000}"/>
  </bookViews>
  <sheets>
    <sheet name="MERCER 2012" sheetId="1" state="hidden" r:id="rId1"/>
    <sheet name="MERCER 2013" sheetId="4" state="hidden" r:id="rId2"/>
    <sheet name="MERCER 2014" sheetId="7" state="hidden" r:id="rId3"/>
    <sheet name="MERCER 2015 SITE" sheetId="11" state="hidden" r:id="rId4"/>
    <sheet name="GRAS SAVOYE 2016 SITE CE" sheetId="8" state="hidden" r:id="rId5"/>
    <sheet name="GRAS SAVOYE 2015" sheetId="10" state="hidden" r:id="rId6"/>
    <sheet name="GRAS SAVOYE 2015 +14%" sheetId="15" state="hidden" r:id="rId7"/>
    <sheet name="REVISIONS" sheetId="3" state="hidden" r:id="rId8"/>
    <sheet name="Comparatif 2017-2018" sheetId="17" state="hidden" r:id="rId9"/>
    <sheet name="REVISIONS 2018" sheetId="18" state="hidden" r:id="rId10"/>
    <sheet name="GRAS SAVOYE 2018" sheetId="19" state="hidden" r:id="rId11"/>
    <sheet name="GRAS SAVOYE 2025 SITE CE" sheetId="16" r:id="rId12"/>
    <sheet name="GRAS SAVOYE 2018 SITE CE (2)" sheetId="22" state="hidden" r:id="rId13"/>
    <sheet name="CADRE - NON CADRE" sheetId="20" r:id="rId14"/>
  </sheets>
  <definedNames>
    <definedName name="_xlnm._FilterDatabase" localSheetId="8" hidden="1">'Comparatif 2017-2018'!#REF!</definedName>
    <definedName name="_xlnm._FilterDatabase" localSheetId="5" hidden="1">'GRAS SAVOYE 2015'!#REF!</definedName>
    <definedName name="_xlnm._FilterDatabase" localSheetId="6" hidden="1">'GRAS SAVOYE 2015 +14%'!#REF!</definedName>
    <definedName name="_xlnm._FilterDatabase" localSheetId="4" hidden="1">'GRAS SAVOYE 2016 SITE CE'!#REF!</definedName>
    <definedName name="_xlnm._FilterDatabase" localSheetId="10" hidden="1">'GRAS SAVOYE 2018'!#REF!</definedName>
    <definedName name="_xlnm._FilterDatabase" localSheetId="12" hidden="1">'GRAS SAVOYE 2018 SITE CE (2)'!#REF!</definedName>
    <definedName name="_xlnm._FilterDatabase" localSheetId="11" hidden="1">'GRAS SAVOYE 2025 SITE CE'!#REF!</definedName>
    <definedName name="_xlnm._FilterDatabase" localSheetId="0" hidden="1">'MERCER 2012'!$I$23:$I$23</definedName>
    <definedName name="_xlnm._FilterDatabase" localSheetId="1" hidden="1">'MERCER 2013'!$I$24:$I$24</definedName>
    <definedName name="_xlnm._FilterDatabase" localSheetId="2" hidden="1">'MERCER 2014'!$I$27:$I$27</definedName>
    <definedName name="_xlnm._FilterDatabase" localSheetId="3" hidden="1">'MERCER 2015 SITE'!#REF!</definedName>
    <definedName name="GRAS_SAVOYE_2025">'GRAS SAVOYE 2025 SITE CE'!$B$1</definedName>
    <definedName name="_xlnm.Print_Area" localSheetId="7">REVISIONS!$A$1:$N$26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6" l="1"/>
  <c r="E8" i="20"/>
  <c r="K8" i="20" s="1"/>
  <c r="K28" i="16" l="1"/>
  <c r="K29" i="16"/>
  <c r="K30" i="16"/>
  <c r="K31" i="16"/>
  <c r="K32" i="16"/>
  <c r="K33" i="16"/>
  <c r="K34" i="16"/>
  <c r="K35" i="16"/>
  <c r="J28" i="16"/>
  <c r="J29" i="16"/>
  <c r="J30" i="16"/>
  <c r="J31" i="16"/>
  <c r="J32" i="16"/>
  <c r="J33" i="16"/>
  <c r="J34" i="16"/>
  <c r="J35" i="16"/>
  <c r="F7" i="3" l="1"/>
  <c r="F8" i="3"/>
  <c r="F9" i="3"/>
  <c r="F10" i="3"/>
  <c r="F6" i="3"/>
  <c r="F11" i="3" l="1"/>
  <c r="F12" i="3" s="1"/>
  <c r="D27" i="16"/>
  <c r="D28" i="16" s="1"/>
  <c r="C6" i="3" l="1"/>
  <c r="C7" i="3"/>
  <c r="P15" i="3"/>
  <c r="P25" i="3" s="1"/>
  <c r="P26" i="3" l="1"/>
  <c r="N7" i="3"/>
  <c r="N8" i="3"/>
  <c r="N9" i="3"/>
  <c r="N10" i="3"/>
  <c r="N15" i="3"/>
  <c r="C8" i="3"/>
  <c r="L6" i="3"/>
  <c r="L7" i="3"/>
  <c r="L8" i="3"/>
  <c r="L9" i="3"/>
  <c r="L10" i="3"/>
  <c r="L15" i="3"/>
  <c r="B17" i="20"/>
  <c r="N6" i="3"/>
  <c r="C9" i="3"/>
  <c r="C10" i="3"/>
  <c r="C15" i="3"/>
  <c r="C11" i="3" l="1"/>
  <c r="C12" i="3"/>
  <c r="N26" i="3"/>
  <c r="N25" i="3"/>
  <c r="C26" i="3"/>
  <c r="C25" i="3"/>
  <c r="L26" i="3"/>
  <c r="L25" i="3"/>
  <c r="L11" i="3"/>
  <c r="N11" i="3"/>
  <c r="L12" i="3"/>
  <c r="N12" i="3"/>
  <c r="C18" i="16"/>
  <c r="C13" i="16"/>
  <c r="J26" i="16" l="1"/>
  <c r="C12" i="16" l="1"/>
  <c r="C17" i="16" l="1"/>
  <c r="B21" i="20"/>
  <c r="C4" i="20" l="1"/>
  <c r="C8" i="20"/>
  <c r="C7" i="20"/>
  <c r="I8" i="20"/>
  <c r="I7" i="20"/>
  <c r="I4" i="20"/>
  <c r="Q8" i="22" l="1"/>
  <c r="N8" i="22"/>
  <c r="D29" i="22" l="1"/>
  <c r="E29" i="22" s="1"/>
  <c r="V28" i="22"/>
  <c r="U28" i="22"/>
  <c r="D28" i="22"/>
  <c r="V27" i="22"/>
  <c r="U27" i="22"/>
  <c r="E27" i="22"/>
  <c r="E28" i="22" s="1"/>
  <c r="F28" i="22" s="1"/>
  <c r="V26" i="22"/>
  <c r="U26" i="22"/>
  <c r="V25" i="22"/>
  <c r="U25" i="22"/>
  <c r="D25" i="22"/>
  <c r="E25" i="22" s="1"/>
  <c r="V24" i="22"/>
  <c r="U24" i="22"/>
  <c r="D24" i="22"/>
  <c r="V23" i="22"/>
  <c r="U23" i="22"/>
  <c r="E23" i="22"/>
  <c r="E24" i="22" s="1"/>
  <c r="F24" i="22" s="1"/>
  <c r="V22" i="22"/>
  <c r="U22" i="22"/>
  <c r="V21" i="22"/>
  <c r="U21" i="22"/>
  <c r="V20" i="22"/>
  <c r="U20" i="22"/>
  <c r="V19" i="22"/>
  <c r="U19" i="22"/>
  <c r="C19" i="22"/>
  <c r="D19" i="22" s="1"/>
  <c r="E19" i="22" s="1"/>
  <c r="F19" i="22" s="1"/>
  <c r="V18" i="22"/>
  <c r="U18" i="22"/>
  <c r="N18" i="22"/>
  <c r="O18" i="22" s="1"/>
  <c r="L18" i="22"/>
  <c r="D18" i="22"/>
  <c r="E18" i="22" s="1"/>
  <c r="V17" i="22"/>
  <c r="U17" i="22"/>
  <c r="N17" i="22"/>
  <c r="O17" i="22" s="1"/>
  <c r="L17" i="22"/>
  <c r="D17" i="22"/>
  <c r="E17" i="22" s="1"/>
  <c r="V16" i="22"/>
  <c r="U16" i="22"/>
  <c r="N16" i="22"/>
  <c r="O16" i="22" s="1"/>
  <c r="L16" i="22"/>
  <c r="V15" i="22"/>
  <c r="U15" i="22"/>
  <c r="V14" i="22"/>
  <c r="U14" i="22"/>
  <c r="C14" i="22"/>
  <c r="D14" i="22" s="1"/>
  <c r="E14" i="22" s="1"/>
  <c r="F14" i="22" s="1"/>
  <c r="V13" i="22"/>
  <c r="U13" i="22"/>
  <c r="N13" i="22"/>
  <c r="O13" i="22" s="1"/>
  <c r="L13" i="22"/>
  <c r="D13" i="22"/>
  <c r="E13" i="22" s="1"/>
  <c r="V12" i="22"/>
  <c r="U12" i="22"/>
  <c r="N12" i="22"/>
  <c r="O12" i="22" s="1"/>
  <c r="L12" i="22"/>
  <c r="D12" i="22"/>
  <c r="E12" i="22" s="1"/>
  <c r="V11" i="22"/>
  <c r="U11" i="22"/>
  <c r="O11" i="22"/>
  <c r="L11" i="22"/>
  <c r="V10" i="22"/>
  <c r="U10" i="22"/>
  <c r="V9" i="22"/>
  <c r="U9" i="22"/>
  <c r="F9" i="22"/>
  <c r="V8" i="22"/>
  <c r="U8" i="22"/>
  <c r="I8" i="22"/>
  <c r="M16" i="22" s="1"/>
  <c r="F8" i="22"/>
  <c r="V7" i="22"/>
  <c r="U7" i="22"/>
  <c r="V6" i="22"/>
  <c r="P5" i="22"/>
  <c r="M5" i="22"/>
  <c r="M8" i="22" s="1"/>
  <c r="I5" i="22"/>
  <c r="H21" i="20"/>
  <c r="H17" i="20"/>
  <c r="L7" i="20"/>
  <c r="F7" i="20"/>
  <c r="I23" i="20"/>
  <c r="I22" i="20"/>
  <c r="J21" i="20"/>
  <c r="I21" i="20"/>
  <c r="J17" i="20"/>
  <c r="I19" i="20"/>
  <c r="I18" i="20"/>
  <c r="I17" i="20"/>
  <c r="I12" i="20"/>
  <c r="I11" i="20"/>
  <c r="L8" i="20"/>
  <c r="F8" i="20"/>
  <c r="C23" i="20"/>
  <c r="C22" i="20"/>
  <c r="D21" i="20"/>
  <c r="C21" i="20"/>
  <c r="D20" i="20"/>
  <c r="C20" i="20"/>
  <c r="C19" i="20"/>
  <c r="C18" i="20"/>
  <c r="D17" i="20"/>
  <c r="C17" i="20"/>
  <c r="C12" i="20"/>
  <c r="C11" i="20"/>
  <c r="P12" i="22" l="1"/>
  <c r="H26" i="22"/>
  <c r="P8" i="22"/>
  <c r="P18" i="22" s="1"/>
  <c r="M11" i="22"/>
  <c r="M12" i="22"/>
  <c r="M18" i="22"/>
  <c r="M13" i="22"/>
  <c r="M17" i="22"/>
  <c r="P11" i="22"/>
  <c r="P16" i="22"/>
  <c r="P13" i="22"/>
  <c r="P17" i="22"/>
  <c r="E9" i="16"/>
  <c r="J12" i="20"/>
  <c r="J11" i="20"/>
  <c r="D12" i="20"/>
  <c r="D11" i="20"/>
  <c r="D18" i="16" l="1"/>
  <c r="K12" i="20" s="1"/>
  <c r="D12" i="16"/>
  <c r="E11" i="20" s="1"/>
  <c r="D17" i="16"/>
  <c r="K11" i="20" s="1"/>
  <c r="D13" i="16"/>
  <c r="E12" i="20" s="1"/>
  <c r="E8" i="16"/>
  <c r="B14" i="16"/>
  <c r="C14" i="16" s="1"/>
  <c r="D24" i="16" l="1"/>
  <c r="K17" i="20"/>
  <c r="E17" i="20"/>
  <c r="K21" i="20"/>
  <c r="E21" i="20"/>
  <c r="C13" i="20"/>
  <c r="K18" i="20" l="1"/>
  <c r="L18" i="20" s="1"/>
  <c r="E18" i="20"/>
  <c r="F18" i="20" s="1"/>
  <c r="E22" i="20"/>
  <c r="F22" i="20" s="1"/>
  <c r="K22" i="20"/>
  <c r="L22" i="20" s="1"/>
  <c r="D14" i="16"/>
  <c r="E13" i="20" s="1"/>
  <c r="F26" i="20" s="1"/>
  <c r="D13" i="20"/>
  <c r="D32" i="19"/>
  <c r="E32" i="19" s="1"/>
  <c r="D31" i="19"/>
  <c r="E31" i="19" s="1"/>
  <c r="E30" i="19"/>
  <c r="V29" i="19"/>
  <c r="U29" i="19"/>
  <c r="V28" i="19"/>
  <c r="U28" i="19"/>
  <c r="D28" i="19"/>
  <c r="E28" i="19" s="1"/>
  <c r="V27" i="19"/>
  <c r="U27" i="19"/>
  <c r="D27" i="19"/>
  <c r="E27" i="19" s="1"/>
  <c r="V26" i="19"/>
  <c r="U26" i="19"/>
  <c r="E26" i="19"/>
  <c r="V25" i="19"/>
  <c r="U25" i="19"/>
  <c r="V24" i="19"/>
  <c r="U24" i="19"/>
  <c r="V23" i="19"/>
  <c r="U23" i="19"/>
  <c r="V22" i="19"/>
  <c r="U22" i="19"/>
  <c r="D22" i="19"/>
  <c r="C22" i="19"/>
  <c r="V21" i="19"/>
  <c r="U21" i="19"/>
  <c r="C21" i="19"/>
  <c r="D21" i="19" s="1"/>
  <c r="E21" i="19" s="1"/>
  <c r="V20" i="19"/>
  <c r="U20" i="19"/>
  <c r="Q20" i="19"/>
  <c r="O20" i="19"/>
  <c r="P20" i="19" s="1"/>
  <c r="N20" i="19"/>
  <c r="M20" i="19"/>
  <c r="D20" i="19"/>
  <c r="E20" i="19" s="1"/>
  <c r="V19" i="19"/>
  <c r="U19" i="19"/>
  <c r="O19" i="19"/>
  <c r="P19" i="19" s="1"/>
  <c r="M19" i="19"/>
  <c r="D19" i="19"/>
  <c r="E19" i="19" s="1"/>
  <c r="V18" i="19"/>
  <c r="U18" i="19"/>
  <c r="O18" i="19"/>
  <c r="P18" i="19" s="1"/>
  <c r="M18" i="19"/>
  <c r="V17" i="19"/>
  <c r="U17" i="19"/>
  <c r="V16" i="19"/>
  <c r="U16" i="19"/>
  <c r="D16" i="19"/>
  <c r="V15" i="19"/>
  <c r="U15" i="19"/>
  <c r="C15" i="19"/>
  <c r="D15" i="19" s="1"/>
  <c r="E15" i="19" s="1"/>
  <c r="V14" i="19"/>
  <c r="U14" i="19"/>
  <c r="Q14" i="19"/>
  <c r="O14" i="19"/>
  <c r="P14" i="19" s="1"/>
  <c r="N14" i="19"/>
  <c r="M14" i="19"/>
  <c r="D14" i="19"/>
  <c r="E14" i="19" s="1"/>
  <c r="V13" i="19"/>
  <c r="U13" i="19"/>
  <c r="O13" i="19"/>
  <c r="P13" i="19" s="1"/>
  <c r="M13" i="19"/>
  <c r="D13" i="19"/>
  <c r="E13" i="19" s="1"/>
  <c r="V12" i="19"/>
  <c r="U12" i="19"/>
  <c r="P12" i="19"/>
  <c r="M12" i="19"/>
  <c r="V11" i="19"/>
  <c r="U11" i="19"/>
  <c r="V10" i="19"/>
  <c r="U10" i="19"/>
  <c r="F10" i="19"/>
  <c r="E22" i="19" s="1"/>
  <c r="V9" i="19"/>
  <c r="U9" i="19"/>
  <c r="N9" i="19"/>
  <c r="Q13" i="19" s="1"/>
  <c r="Q18" i="19"/>
  <c r="F9" i="19"/>
  <c r="V8" i="19"/>
  <c r="U8" i="19"/>
  <c r="V7" i="19"/>
  <c r="Q6" i="19"/>
  <c r="N6" i="19"/>
  <c r="J6" i="19"/>
  <c r="J9" i="19" s="1"/>
  <c r="Q9" i="19" l="1"/>
  <c r="L27" i="20"/>
  <c r="F27" i="20"/>
  <c r="E14" i="16"/>
  <c r="F32" i="16" s="1"/>
  <c r="N13" i="19"/>
  <c r="N19" i="19"/>
  <c r="Q19" i="19"/>
  <c r="N12" i="19"/>
  <c r="Q12" i="19"/>
  <c r="N18" i="19"/>
  <c r="F31" i="19"/>
  <c r="G31" i="19"/>
  <c r="F21" i="19"/>
  <c r="G21" i="19" s="1"/>
  <c r="G27" i="19"/>
  <c r="F27" i="19"/>
  <c r="I29" i="19" s="1"/>
  <c r="E16" i="19"/>
  <c r="F15" i="19" s="1"/>
  <c r="G15" i="19" s="1"/>
  <c r="D19" i="18"/>
  <c r="D16" i="18"/>
  <c r="G34" i="19" l="1"/>
  <c r="D4" i="18" l="1"/>
  <c r="D3" i="18"/>
  <c r="Q7" i="17" l="1"/>
  <c r="Q8" i="17"/>
  <c r="Q10" i="17"/>
  <c r="Q13" i="17"/>
  <c r="Q14" i="17"/>
  <c r="C21" i="18" l="1"/>
  <c r="D21" i="18" s="1"/>
  <c r="C20" i="18"/>
  <c r="D20" i="18" s="1"/>
  <c r="C18" i="18"/>
  <c r="D18" i="18" s="1"/>
  <c r="C17" i="18"/>
  <c r="D17" i="18" s="1"/>
  <c r="C13" i="18"/>
  <c r="C9" i="18"/>
  <c r="H8" i="3"/>
  <c r="H9" i="3"/>
  <c r="H10" i="3"/>
  <c r="H5" i="3"/>
  <c r="G11" i="17" l="1"/>
  <c r="K27" i="16"/>
  <c r="J27" i="16"/>
  <c r="K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G5" i="17" l="1"/>
  <c r="G7" i="17"/>
  <c r="N3" i="17" l="1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" i="17"/>
  <c r="R45" i="17"/>
  <c r="S45" i="17" s="1"/>
  <c r="P45" i="17"/>
  <c r="F13" i="17" l="1"/>
  <c r="Q9" i="17" s="1"/>
  <c r="B32" i="17"/>
  <c r="B35" i="17" l="1"/>
  <c r="Q38" i="17" s="1"/>
  <c r="G44" i="17"/>
  <c r="H44" i="17" s="1"/>
  <c r="E44" i="17"/>
  <c r="G43" i="17"/>
  <c r="H43" i="17" s="1"/>
  <c r="E43" i="17"/>
  <c r="G40" i="17"/>
  <c r="H40" i="17" s="1"/>
  <c r="E40" i="17"/>
  <c r="G39" i="17"/>
  <c r="H39" i="17" s="1"/>
  <c r="E39" i="17"/>
  <c r="H38" i="17"/>
  <c r="E38" i="17"/>
  <c r="R44" i="17"/>
  <c r="R43" i="17"/>
  <c r="R40" i="17"/>
  <c r="R39" i="17"/>
  <c r="I38" i="17" l="1"/>
  <c r="F38" i="17"/>
  <c r="I43" i="17"/>
  <c r="F43" i="17"/>
  <c r="D32" i="17"/>
  <c r="C32" i="17"/>
  <c r="C35" i="17" s="1"/>
  <c r="I44" i="17" s="1"/>
  <c r="S44" i="17"/>
  <c r="P44" i="17"/>
  <c r="S43" i="17"/>
  <c r="T43" i="17" s="1"/>
  <c r="P43" i="17"/>
  <c r="Q43" i="17" s="1"/>
  <c r="S40" i="17"/>
  <c r="P40" i="17"/>
  <c r="S39" i="17"/>
  <c r="P39" i="17"/>
  <c r="S38" i="17"/>
  <c r="T38" i="17" s="1"/>
  <c r="P38" i="17"/>
  <c r="D24" i="17"/>
  <c r="D19" i="17"/>
  <c r="C26" i="17"/>
  <c r="D26" i="17" s="1"/>
  <c r="C25" i="17"/>
  <c r="D25" i="17" s="1"/>
  <c r="F25" i="17" s="1"/>
  <c r="C21" i="17"/>
  <c r="D21" i="17" s="1"/>
  <c r="C20" i="17"/>
  <c r="D20" i="17" s="1"/>
  <c r="F20" i="17" s="1"/>
  <c r="I11" i="17"/>
  <c r="I12" i="17"/>
  <c r="I14" i="17"/>
  <c r="G12" i="17"/>
  <c r="D7" i="17"/>
  <c r="D11" i="17" s="1"/>
  <c r="H13" i="17"/>
  <c r="Q15" i="17" s="1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A7" i="17"/>
  <c r="M6" i="17"/>
  <c r="D6" i="17"/>
  <c r="D13" i="17" s="1"/>
  <c r="A6" i="17"/>
  <c r="M5" i="17"/>
  <c r="D5" i="17"/>
  <c r="M4" i="17"/>
  <c r="M3" i="17"/>
  <c r="D35" i="17" l="1"/>
  <c r="Q44" i="17"/>
  <c r="T39" i="17"/>
  <c r="I39" i="17"/>
  <c r="F53" i="17"/>
  <c r="F44" i="17"/>
  <c r="D12" i="17"/>
  <c r="T44" i="17"/>
  <c r="M53" i="17" s="1"/>
  <c r="F39" i="17"/>
  <c r="Q39" i="17"/>
  <c r="F28" i="17"/>
  <c r="D51" i="17" s="1"/>
  <c r="F51" i="17" s="1"/>
  <c r="A5" i="17"/>
  <c r="G14" i="17"/>
  <c r="G13" i="17"/>
  <c r="I13" i="17"/>
  <c r="I15" i="17" s="1"/>
  <c r="C29" i="16"/>
  <c r="C28" i="16"/>
  <c r="C25" i="16"/>
  <c r="C24" i="16"/>
  <c r="B19" i="16"/>
  <c r="C19" i="16" s="1"/>
  <c r="J23" i="20" l="1"/>
  <c r="D23" i="20"/>
  <c r="D25" i="16"/>
  <c r="K19" i="20" s="1"/>
  <c r="D19" i="20"/>
  <c r="J19" i="20"/>
  <c r="I13" i="20"/>
  <c r="E24" i="16"/>
  <c r="J18" i="20"/>
  <c r="D18" i="20"/>
  <c r="D22" i="20"/>
  <c r="J22" i="20"/>
  <c r="Q45" i="17"/>
  <c r="T45" i="17"/>
  <c r="F40" i="17"/>
  <c r="T40" i="17"/>
  <c r="L53" i="17" s="1"/>
  <c r="Q40" i="17"/>
  <c r="I40" i="17"/>
  <c r="D53" i="17" s="1"/>
  <c r="D55" i="17" s="1"/>
  <c r="F55" i="17"/>
  <c r="G15" i="17"/>
  <c r="L51" i="17" s="1"/>
  <c r="M51" i="17"/>
  <c r="M55" i="17" s="1"/>
  <c r="E28" i="16"/>
  <c r="D29" i="16"/>
  <c r="B35" i="15"/>
  <c r="F35" i="16" l="1"/>
  <c r="F26" i="16"/>
  <c r="E19" i="20"/>
  <c r="J13" i="20"/>
  <c r="D19" i="16"/>
  <c r="E23" i="20"/>
  <c r="K23" i="20"/>
  <c r="M57" i="17"/>
  <c r="M58" i="17" s="1"/>
  <c r="L55" i="17"/>
  <c r="L57" i="17" s="1"/>
  <c r="L58" i="17" s="1"/>
  <c r="K13" i="20" l="1"/>
  <c r="L26" i="20" s="1"/>
  <c r="E19" i="16"/>
  <c r="F33" i="16" s="1"/>
  <c r="F41" i="15"/>
  <c r="F42" i="15" s="1"/>
  <c r="E41" i="15"/>
  <c r="E42" i="15" s="1"/>
  <c r="C41" i="15"/>
  <c r="C42" i="15" s="1"/>
  <c r="B43" i="15" s="1"/>
  <c r="H40" i="15"/>
  <c r="G40" i="15"/>
  <c r="F35" i="15"/>
  <c r="E35" i="15"/>
  <c r="F36" i="15" s="1"/>
  <c r="C35" i="15"/>
  <c r="C36" i="15" s="1"/>
  <c r="B36" i="15"/>
  <c r="H34" i="15"/>
  <c r="G34" i="15"/>
  <c r="K24" i="15"/>
  <c r="K23" i="15"/>
  <c r="K22" i="15"/>
  <c r="K21" i="15"/>
  <c r="K20" i="15"/>
  <c r="K19" i="15"/>
  <c r="K18" i="15"/>
  <c r="K17" i="15"/>
  <c r="K16" i="15"/>
  <c r="C16" i="15"/>
  <c r="D16" i="15" s="1"/>
  <c r="K15" i="15"/>
  <c r="C15" i="15"/>
  <c r="D15" i="15" s="1"/>
  <c r="K14" i="15"/>
  <c r="D14" i="15"/>
  <c r="K13" i="15"/>
  <c r="C13" i="15"/>
  <c r="D13" i="15" s="1"/>
  <c r="K12" i="15"/>
  <c r="C12" i="15"/>
  <c r="D12" i="15" s="1"/>
  <c r="K11" i="15"/>
  <c r="D11" i="15"/>
  <c r="K10" i="15"/>
  <c r="K9" i="15"/>
  <c r="K8" i="15"/>
  <c r="K7" i="15"/>
  <c r="D7" i="15"/>
  <c r="A7" i="15"/>
  <c r="K6" i="15"/>
  <c r="D6" i="15"/>
  <c r="D22" i="15" s="1"/>
  <c r="A6" i="15"/>
  <c r="K5" i="15"/>
  <c r="D5" i="15"/>
  <c r="K4" i="15"/>
  <c r="K3" i="15"/>
  <c r="F6" i="10"/>
  <c r="G6" i="10" s="1"/>
  <c r="F7" i="10"/>
  <c r="G7" i="10" s="1"/>
  <c r="F5" i="10"/>
  <c r="G5" i="10" s="1"/>
  <c r="B37" i="15" l="1"/>
  <c r="E43" i="15"/>
  <c r="D44" i="15" s="1"/>
  <c r="A5" i="15"/>
  <c r="E36" i="15"/>
  <c r="E37" i="15" s="1"/>
  <c r="D38" i="15" s="1"/>
  <c r="D23" i="15"/>
  <c r="D24" i="15" s="1"/>
  <c r="D7" i="10" l="1"/>
  <c r="H7" i="10" s="1"/>
  <c r="F7" i="15" s="1"/>
  <c r="C16" i="10"/>
  <c r="D16" i="10" s="1"/>
  <c r="E16" i="10" s="1"/>
  <c r="C15" i="10"/>
  <c r="D15" i="10" s="1"/>
  <c r="E15" i="10" s="1"/>
  <c r="C13" i="10"/>
  <c r="D13" i="10" s="1"/>
  <c r="E13" i="10" s="1"/>
  <c r="C12" i="10"/>
  <c r="D12" i="10" s="1"/>
  <c r="E12" i="10" s="1"/>
  <c r="A7" i="10"/>
  <c r="L22" i="10"/>
  <c r="L23" i="10"/>
  <c r="L24" i="10"/>
  <c r="D20" i="11" l="1"/>
  <c r="D19" i="11"/>
  <c r="D15" i="11"/>
  <c r="D14" i="11"/>
  <c r="D12" i="11"/>
  <c r="G38" i="10" l="1"/>
  <c r="H38" i="10"/>
  <c r="G44" i="10"/>
  <c r="H44" i="10"/>
  <c r="F45" i="10" l="1"/>
  <c r="F46" i="10" s="1"/>
  <c r="E45" i="10"/>
  <c r="E46" i="10" s="1"/>
  <c r="C45" i="10"/>
  <c r="C46" i="10" s="1"/>
  <c r="B47" i="10" s="1"/>
  <c r="F39" i="10"/>
  <c r="E39" i="10"/>
  <c r="F40" i="10" s="1"/>
  <c r="C39" i="10"/>
  <c r="C40" i="10" s="1"/>
  <c r="B39" i="10"/>
  <c r="B40" i="10" s="1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D14" i="10"/>
  <c r="D11" i="10"/>
  <c r="D6" i="10"/>
  <c r="H6" i="10" s="1"/>
  <c r="F6" i="15" s="1"/>
  <c r="A6" i="10"/>
  <c r="A5" i="10" s="1"/>
  <c r="D5" i="10"/>
  <c r="H5" i="10" s="1"/>
  <c r="F5" i="15" s="1"/>
  <c r="D26" i="10" l="1"/>
  <c r="D27" i="10" s="1"/>
  <c r="D28" i="10" s="1"/>
  <c r="F11" i="10"/>
  <c r="G11" i="10" s="1"/>
  <c r="E11" i="10"/>
  <c r="F14" i="10"/>
  <c r="G14" i="10" s="1"/>
  <c r="E14" i="10"/>
  <c r="B41" i="10"/>
  <c r="E47" i="10"/>
  <c r="D48" i="10" s="1"/>
  <c r="E40" i="10"/>
  <c r="E41" i="10" s="1"/>
  <c r="N6" i="10"/>
  <c r="E17" i="10" l="1"/>
  <c r="G17" i="10"/>
  <c r="D42" i="10"/>
  <c r="D20" i="8" l="1"/>
  <c r="D19" i="8"/>
  <c r="D15" i="8"/>
  <c r="D14" i="8"/>
  <c r="D12" i="8"/>
  <c r="H34" i="7" l="1"/>
  <c r="G34" i="7"/>
  <c r="H40" i="7"/>
  <c r="G40" i="7"/>
  <c r="L33" i="7"/>
  <c r="L32" i="7"/>
  <c r="L31" i="7"/>
  <c r="L30" i="7"/>
  <c r="L29" i="7"/>
  <c r="C41" i="7"/>
  <c r="C42" i="7" s="1"/>
  <c r="B43" i="7" s="1"/>
  <c r="L28" i="7"/>
  <c r="L27" i="7"/>
  <c r="L26" i="7"/>
  <c r="L25" i="7"/>
  <c r="L24" i="7"/>
  <c r="L23" i="7"/>
  <c r="L22" i="7"/>
  <c r="L21" i="7"/>
  <c r="L20" i="7"/>
  <c r="L19" i="7"/>
  <c r="L18" i="7"/>
  <c r="L17" i="7"/>
  <c r="D12" i="7"/>
  <c r="F12" i="7" s="1"/>
  <c r="G12" i="7" s="1"/>
  <c r="G13" i="7" s="1"/>
  <c r="E12" i="7"/>
  <c r="L16" i="7"/>
  <c r="D11" i="7"/>
  <c r="F11" i="7" s="1"/>
  <c r="G11" i="7" s="1"/>
  <c r="L15" i="7"/>
  <c r="D7" i="7"/>
  <c r="D6" i="7"/>
  <c r="E6" i="7" s="1"/>
  <c r="D22" i="7"/>
  <c r="D23" i="7" s="1"/>
  <c r="A6" i="7"/>
  <c r="A7" i="7"/>
  <c r="D5" i="7"/>
  <c r="A7" i="4"/>
  <c r="A8" i="4" s="1"/>
  <c r="K6" i="1"/>
  <c r="A7" i="1"/>
  <c r="A8" i="1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D19" i="1"/>
  <c r="D7" i="1"/>
  <c r="D8" i="1"/>
  <c r="E7" i="1" s="1"/>
  <c r="D7" i="4"/>
  <c r="D8" i="4"/>
  <c r="E7" i="4" s="1"/>
  <c r="K20" i="4" s="1"/>
  <c r="D11" i="4"/>
  <c r="F11" i="4"/>
  <c r="G11" i="4" s="1"/>
  <c r="G13" i="4" s="1"/>
  <c r="E11" i="4"/>
  <c r="E13" i="4" s="1"/>
  <c r="D12" i="4"/>
  <c r="E12" i="4"/>
  <c r="J18" i="4"/>
  <c r="I18" i="4"/>
  <c r="H18" i="4"/>
  <c r="O18" i="1"/>
  <c r="H4" i="1"/>
  <c r="H5" i="1"/>
  <c r="H6" i="1"/>
  <c r="H7" i="1"/>
  <c r="H3" i="1"/>
  <c r="D6" i="4"/>
  <c r="E48" i="4"/>
  <c r="D6" i="1"/>
  <c r="B24" i="4"/>
  <c r="F38" i="4" s="1"/>
  <c r="F39" i="4" s="1"/>
  <c r="B23" i="1"/>
  <c r="C31" i="1" s="1"/>
  <c r="C32" i="1" s="1"/>
  <c r="K3" i="1"/>
  <c r="K4" i="1"/>
  <c r="K5" i="1"/>
  <c r="K2" i="1"/>
  <c r="M4" i="1"/>
  <c r="M5" i="1"/>
  <c r="M7" i="1" s="1"/>
  <c r="D12" i="1"/>
  <c r="F12" i="1" s="1"/>
  <c r="D11" i="1"/>
  <c r="F11" i="1" s="1"/>
  <c r="D19" i="4"/>
  <c r="B35" i="7"/>
  <c r="B36" i="7" s="1"/>
  <c r="E41" i="7"/>
  <c r="E42" i="7" s="1"/>
  <c r="C35" i="7"/>
  <c r="C36" i="7" s="1"/>
  <c r="E35" i="7"/>
  <c r="E36" i="7" s="1"/>
  <c r="F35" i="7"/>
  <c r="F41" i="7"/>
  <c r="F42" i="7"/>
  <c r="F12" i="4"/>
  <c r="G12" i="4" s="1"/>
  <c r="D20" i="4" l="1"/>
  <c r="D21" i="4" s="1"/>
  <c r="B31" i="1"/>
  <c r="B32" i="1" s="1"/>
  <c r="B33" i="1" s="1"/>
  <c r="C37" i="1"/>
  <c r="C38" i="1" s="1"/>
  <c r="B39" i="1" s="1"/>
  <c r="E31" i="1"/>
  <c r="F32" i="1" s="1"/>
  <c r="B32" i="4"/>
  <c r="B33" i="4" s="1"/>
  <c r="E37" i="1"/>
  <c r="E38" i="1" s="1"/>
  <c r="F37" i="1"/>
  <c r="F38" i="1" s="1"/>
  <c r="E32" i="1"/>
  <c r="E33" i="1" s="1"/>
  <c r="D34" i="1" s="1"/>
  <c r="D20" i="1"/>
  <c r="G7" i="1" s="1"/>
  <c r="D24" i="7"/>
  <c r="C32" i="4"/>
  <c r="C33" i="4" s="1"/>
  <c r="B34" i="4" s="1"/>
  <c r="C38" i="4"/>
  <c r="C39" i="4" s="1"/>
  <c r="B40" i="4" s="1"/>
  <c r="E38" i="4"/>
  <c r="E39" i="4" s="1"/>
  <c r="E40" i="4" s="1"/>
  <c r="E11" i="7"/>
  <c r="E13" i="7" s="1"/>
  <c r="E32" i="4"/>
  <c r="F31" i="1"/>
  <c r="F32" i="4"/>
  <c r="F36" i="7"/>
  <c r="E43" i="7"/>
  <c r="D44" i="7" s="1"/>
  <c r="B37" i="7"/>
  <c r="E37" i="7"/>
  <c r="E39" i="1" l="1"/>
  <c r="D40" i="1" s="1"/>
  <c r="D21" i="1"/>
  <c r="E33" i="4"/>
  <c r="F33" i="4"/>
  <c r="D41" i="4"/>
  <c r="D38" i="7"/>
  <c r="E34" i="4" l="1"/>
  <c r="D3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</authors>
  <commentList>
    <comment ref="D14" authorId="0" shapeId="0" xr:uid="{00000000-0006-0000-0300-000001000000}">
      <text>
        <r>
          <rPr>
            <sz val="9"/>
            <color indexed="81"/>
            <rFont val="Tahoma"/>
            <family val="2"/>
          </rPr>
          <t>Part du CE à déduire de ce montant.
Elle sera caluculée selon le salaire de base + ancienneté du salarié.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</authors>
  <commentList>
    <comment ref="D14" authorId="0" shapeId="0" xr:uid="{00000000-0006-0000-0400-000001000000}">
      <text>
        <r>
          <rPr>
            <sz val="9"/>
            <color indexed="81"/>
            <rFont val="Tahoma"/>
            <family val="2"/>
          </rPr>
          <t>Part du CE à déduire de ce montant.
Elle sera caluculée selon le salaire de base + ancienneté du salarié.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</authors>
  <commentList>
    <comment ref="A30" authorId="0" shapeId="0" xr:uid="{00000000-0006-0000-0500-000001000000}">
      <text>
        <r>
          <rPr>
            <sz val="9"/>
            <color indexed="81"/>
            <rFont val="Tahoma"/>
            <family val="2"/>
          </rPr>
          <t>réduction 4,28% Gras Savoye Avril 2015</t>
        </r>
      </text>
    </comment>
    <comment ref="B38" authorId="0" shapeId="0" xr:uid="{00000000-0006-0000-0500-000002000000}">
      <text>
        <r>
          <rPr>
            <sz val="8"/>
            <color indexed="81"/>
            <rFont val="Tahoma"/>
            <family val="2"/>
          </rPr>
          <t>0,652% - 4,28% = 0,624% Gras Savoye Avril 2015</t>
        </r>
      </text>
    </comment>
    <comment ref="C38" authorId="0" shapeId="0" xr:uid="{00000000-0006-0000-0500-000003000000}">
      <text>
        <r>
          <rPr>
            <sz val="8"/>
            <color indexed="81"/>
            <rFont val="Tahoma"/>
            <family val="2"/>
          </rPr>
          <t>0,85% - 4,28% = 0,814% Gras Savoye Avril 2015</t>
        </r>
      </text>
    </comment>
    <comment ref="E38" authorId="0" shapeId="0" xr:uid="{00000000-0006-0000-0500-000004000000}">
      <text>
        <r>
          <rPr>
            <sz val="8"/>
            <color indexed="81"/>
            <rFont val="Tahoma"/>
            <family val="2"/>
          </rPr>
          <t>0,85% - 4,28% = 0,812% Gras Savoye Avril 2015</t>
        </r>
      </text>
    </comment>
    <comment ref="F38" authorId="0" shapeId="0" xr:uid="{00000000-0006-0000-0500-000005000000}">
      <text>
        <r>
          <rPr>
            <sz val="8"/>
            <color indexed="81"/>
            <rFont val="Tahoma"/>
            <family val="2"/>
          </rPr>
          <t>0,90% - 4,28% = 0,861% Gras Savoye Avril 2015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  <author>lorandin</author>
  </authors>
  <commentList>
    <comment ref="C5" authorId="0" shapeId="0" xr:uid="{00000000-0006-0000-0600-000001000000}">
      <text>
        <r>
          <rPr>
            <sz val="8"/>
            <color indexed="81"/>
            <rFont val="Tahoma"/>
            <family val="2"/>
          </rPr>
          <t>3,15% + 3,19% = 3,25% date: 2013
3,25% + 4%ANI = 3,38% en 2014
3,38% - 2,23% = 3,30% Avril 2015 Gras Savoye
3,30% + 14% = 3,76% pour 2018</t>
        </r>
      </text>
    </comment>
    <comment ref="C6" authorId="0" shapeId="0" xr:uid="{00000000-0006-0000-0600-000002000000}">
      <text>
        <r>
          <rPr>
            <sz val="8"/>
            <color indexed="81"/>
            <rFont val="Tahoma"/>
            <family val="2"/>
          </rPr>
          <t>2,61%+3,19% = 2,69%
2,69% - 4% = 2,59% ANI pris par direction en 2014
2,59% - 2,23% = 2,53% Gras Savoye Avril 2015
2,53% + 14% = 2,88% pour 2018</t>
        </r>
      </text>
    </comment>
    <comment ref="C7" authorId="1" shapeId="0" xr:uid="{00000000-0006-0000-0600-000003000000}">
      <text>
        <r>
          <rPr>
            <sz val="8"/>
            <color indexed="81"/>
            <rFont val="Tahoma"/>
            <family val="2"/>
          </rPr>
          <t>0,54 + 0,10 = 0,64 - NAO
0,64+ 0,13 = 0,77% ANI en 2014
0,77% + 3,19% = 0,794%
0,79%-2,23% = 0,772% Avril 2015 Gras Savoye
0,77% + 14% = 0,88% pour 2018</t>
        </r>
      </text>
    </comment>
    <comment ref="C11" authorId="1" shapeId="0" xr:uid="{00000000-0006-0000-0600-000004000000}">
      <text>
        <r>
          <rPr>
            <sz val="8"/>
            <color indexed="81"/>
            <rFont val="Tahoma"/>
            <family val="2"/>
          </rPr>
          <t>0,26% + 20% = 0,312% date:
0,312% + 20% = 0,374% date:
0,374% + 3,19% = 0,386% en 2013
0,372% + 4%ANI = 0,387% en 2014
0,387% - 2,23% = 0,378% Gras Savoye Avril 2015</t>
        </r>
      </text>
    </comment>
    <comment ref="C12" authorId="1" shapeId="0" xr:uid="{00000000-0006-0000-0600-000005000000}">
      <text>
        <r>
          <rPr>
            <sz val="8"/>
            <color indexed="81"/>
            <rFont val="Tahoma"/>
            <family val="2"/>
          </rPr>
          <t>0,% - 2,23% = 0,363% Gras Savoye Avril 2015</t>
        </r>
      </text>
    </comment>
    <comment ref="C13" authorId="1" shapeId="0" xr:uid="{00000000-0006-0000-0600-000006000000}">
      <text>
        <r>
          <rPr>
            <sz val="8"/>
            <color indexed="81"/>
            <rFont val="Tahoma"/>
            <family val="2"/>
          </rPr>
          <t>0,372% x 4% = 0,015% ANI 2014
0,015% - 2,23% = 0,015% Gras Savoye Avril 2015</t>
        </r>
      </text>
    </comment>
    <comment ref="C14" authorId="1" shapeId="0" xr:uid="{00000000-0006-0000-0600-000007000000}">
      <text>
        <r>
          <rPr>
            <sz val="8"/>
            <color indexed="81"/>
            <rFont val="Tahoma"/>
            <family val="2"/>
          </rPr>
          <t>0,10% + 20% = 0,12% date:
0,12% + 20% = 0,144% date:
0,14% + 3,19% = 0,144% en 2013
0,144% + 4%ANI = 0,149%  en 2014
0,150% - 2,23% = 0,147% Gras Savoye Avril 2015</t>
        </r>
      </text>
    </comment>
    <comment ref="A26" authorId="0" shapeId="0" xr:uid="{00000000-0006-0000-0600-000008000000}">
      <text>
        <r>
          <rPr>
            <sz val="9"/>
            <color indexed="81"/>
            <rFont val="Tahoma"/>
            <family val="2"/>
          </rPr>
          <t>réduction 4,28% Gras Savoye Avril 2015</t>
        </r>
      </text>
    </comment>
    <comment ref="B34" authorId="0" shapeId="0" xr:uid="{00000000-0006-0000-0600-000009000000}">
      <text>
        <r>
          <rPr>
            <sz val="8"/>
            <color indexed="81"/>
            <rFont val="Tahoma"/>
            <family val="2"/>
          </rPr>
          <t>0,652% - 4,28% = 0,624% Gras Savoye Avril 2015</t>
        </r>
      </text>
    </comment>
    <comment ref="C34" authorId="0" shapeId="0" xr:uid="{00000000-0006-0000-0600-00000A000000}">
      <text>
        <r>
          <rPr>
            <sz val="8"/>
            <color indexed="81"/>
            <rFont val="Tahoma"/>
            <family val="2"/>
          </rPr>
          <t>0,85% - 4,28% = 0,814% Gras Savoye Avril 2015</t>
        </r>
      </text>
    </comment>
    <comment ref="E34" authorId="0" shapeId="0" xr:uid="{00000000-0006-0000-0600-00000B000000}">
      <text>
        <r>
          <rPr>
            <sz val="8"/>
            <color indexed="81"/>
            <rFont val="Tahoma"/>
            <family val="2"/>
          </rPr>
          <t>0,85% - 4,28% = 0,812% Gras Savoye Avril 2015</t>
        </r>
      </text>
    </comment>
    <comment ref="F34" authorId="0" shapeId="0" xr:uid="{00000000-0006-0000-0600-00000C000000}">
      <text>
        <r>
          <rPr>
            <sz val="8"/>
            <color indexed="81"/>
            <rFont val="Tahoma"/>
            <family val="2"/>
          </rPr>
          <t>0,90% - 4,28% = 0,861% Gras Savoye Avril 2015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  <author>lorandin</author>
  </authors>
  <commentList>
    <comment ref="I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salaire Brut (heure sup, prime,…)</t>
        </r>
      </text>
    </comment>
    <comment ref="E10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Conjoint : taper oui ou non</t>
        </r>
      </text>
    </comment>
    <comment ref="D26" authorId="1" shapeId="0" xr:uid="{00000000-0006-0000-0A00-000003000000}">
      <text>
        <r>
          <rPr>
            <sz val="8"/>
            <color indexed="81"/>
            <rFont val="Tahoma"/>
            <family val="2"/>
          </rPr>
          <t>0,26% + 20% = 0,312% date:
0,312% + 20% = 0,374% date:
0,374% + 3,19% = 0,386% en 2013
0,372% + 4%ANI = 0,387% en 2014
0,387% - 2,23% = 0,378% Gras Savoye Avril 2015
suppression de la part employeur (4% ANI) pour 2018</t>
        </r>
      </text>
    </comment>
    <comment ref="D27" authorId="1" shapeId="0" xr:uid="{00000000-0006-0000-0A00-000004000000}">
      <text>
        <r>
          <rPr>
            <sz val="8"/>
            <color indexed="81"/>
            <rFont val="Tahoma"/>
            <family val="2"/>
          </rPr>
          <t>0,% - 2,23% = 0,363% Gras Savoye Avril 2015</t>
        </r>
      </text>
    </comment>
    <comment ref="D28" authorId="1" shapeId="0" xr:uid="{00000000-0006-0000-0A00-000005000000}">
      <text>
        <r>
          <rPr>
            <sz val="8"/>
            <color indexed="81"/>
            <rFont val="Tahoma"/>
            <family val="2"/>
          </rPr>
          <t>0,372% x 4% = 0,015% ANI 2014
0,015% - 2,23% = 0,015% Gras Savoye Avril 2015</t>
        </r>
      </text>
    </comment>
    <comment ref="D30" authorId="1" shapeId="0" xr:uid="{00000000-0006-0000-0A00-000006000000}">
      <text>
        <r>
          <rPr>
            <sz val="8"/>
            <color indexed="81"/>
            <rFont val="Tahoma"/>
            <family val="2"/>
          </rPr>
          <t>0,10% + 20% = 0,12% date:
0,12% + 20% = 0,144% date:
0,14% + 3,19% = 0,144% en 2013
0,144% + 4%ANI = 0,149%  en 2014
0,150% - 2,23% = 0,147% Gras Savoye Avril 2015
suppression de la part employeur (4% ANI) pour 2018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</authors>
  <commentList>
    <comment ref="D9" authorId="0" shapeId="0" xr:uid="{955EC5F6-C35E-4993-999C-DAD076E0FCF2}">
      <text>
        <r>
          <rPr>
            <b/>
            <sz val="9"/>
            <color indexed="81"/>
            <rFont val="Tahoma"/>
            <family val="2"/>
          </rPr>
          <t>Taper OUI ou NON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Lorandin, Marc</author>
    <author>lorandin</author>
  </authors>
  <commentList>
    <comment ref="H7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salaire Brut (heure sup, prime,…)</t>
        </r>
      </text>
    </comment>
    <comment ref="E9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Conjoint : taper oui ou non</t>
        </r>
      </text>
    </comment>
    <comment ref="D23" authorId="1" shapeId="0" xr:uid="{00000000-0006-0000-0C00-000003000000}">
      <text>
        <r>
          <rPr>
            <sz val="8"/>
            <color indexed="81"/>
            <rFont val="Tahoma"/>
            <family val="2"/>
          </rPr>
          <t>0,26% + 20% = 0,312% date:
0,312% + 20% = 0,374% date:
0,374% + 3,19% = 0,386% en 2013
0,372% + 4%ANI = 0,387% en 2014
0,387% - 2,23% = 0,378% Gras Savoye Avril 2015
suppression de la part employeur (4% ANI) pour 2018</t>
        </r>
      </text>
    </comment>
    <comment ref="D24" authorId="1" shapeId="0" xr:uid="{00000000-0006-0000-0C00-000004000000}">
      <text>
        <r>
          <rPr>
            <sz val="8"/>
            <color indexed="81"/>
            <rFont val="Tahoma"/>
            <family val="2"/>
          </rPr>
          <t>0,% - 2,23% = 0,363% Gras Savoye Avril 2015</t>
        </r>
      </text>
    </comment>
    <comment ref="D25" authorId="1" shapeId="0" xr:uid="{00000000-0006-0000-0C00-000005000000}">
      <text>
        <r>
          <rPr>
            <sz val="8"/>
            <color indexed="81"/>
            <rFont val="Tahoma"/>
            <family val="2"/>
          </rPr>
          <t>0,372% x 4% = 0,015% ANI 2014
0,015% - 2,23% = 0,015% Gras Savoye Avril 2015</t>
        </r>
      </text>
    </comment>
    <comment ref="D27" authorId="1" shapeId="0" xr:uid="{00000000-0006-0000-0C00-000006000000}">
      <text>
        <r>
          <rPr>
            <sz val="8"/>
            <color indexed="81"/>
            <rFont val="Tahoma"/>
            <family val="2"/>
          </rPr>
          <t>0,10% + 20% = 0,12% date:
0,12% + 20% = 0,144% date:
0,14% + 3,19% = 0,144% en 2013
0,144% + 4%ANI = 0,149%  en 2014
0,150% - 2,23% = 0,147% Gras Savoye Avril 2015
suppression de la part employeur (4% ANI) pour 2018</t>
        </r>
      </text>
    </comment>
  </commentList>
</comments>
</file>

<file path=xl/sharedStrings.xml><?xml version="1.0" encoding="utf-8"?>
<sst xmlns="http://schemas.openxmlformats.org/spreadsheetml/2006/main" count="575" uniqueCount="149">
  <si>
    <t>PMSS:</t>
  </si>
  <si>
    <t>Régime de base</t>
  </si>
  <si>
    <t>Assureur :</t>
  </si>
  <si>
    <t>Salarié :</t>
  </si>
  <si>
    <t>Employeur :</t>
  </si>
  <si>
    <t>montant</t>
  </si>
  <si>
    <t>Régime optionnel</t>
  </si>
  <si>
    <t>Par adulte :</t>
  </si>
  <si>
    <t>Par enfant :</t>
  </si>
  <si>
    <t>Part CE :</t>
  </si>
  <si>
    <t>Salaire de base + ancienneté :</t>
  </si>
  <si>
    <t>Forfait au-delà du PMSS :</t>
  </si>
  <si>
    <t>FRAIS DE SANTE</t>
  </si>
  <si>
    <t>PREVOYANCE</t>
  </si>
  <si>
    <t>TRA</t>
  </si>
  <si>
    <t>TRB</t>
  </si>
  <si>
    <t>non cadre</t>
  </si>
  <si>
    <t>cadre</t>
  </si>
  <si>
    <t>Part patronale</t>
  </si>
  <si>
    <t>Part salariale</t>
  </si>
  <si>
    <t>salaire Brut (heure sup, prime,…) :</t>
  </si>
  <si>
    <t>montant :</t>
  </si>
  <si>
    <t>salaire brut - PMSS</t>
  </si>
  <si>
    <t xml:space="preserve">TRB </t>
  </si>
  <si>
    <t>TR A :</t>
  </si>
  <si>
    <t>TR B :</t>
  </si>
  <si>
    <t xml:space="preserve">TOTAL : </t>
  </si>
  <si>
    <t>de  0  à  PMSS</t>
  </si>
  <si>
    <t>de  PMSS  à  8xPMSS</t>
  </si>
  <si>
    <t>montant/mois</t>
  </si>
  <si>
    <t>montant / an</t>
  </si>
  <si>
    <t>CLOE</t>
  </si>
  <si>
    <t>EUROS/heure</t>
  </si>
  <si>
    <t>heure/semaine</t>
  </si>
  <si>
    <t>heure/mois</t>
  </si>
  <si>
    <t>euros/mois</t>
  </si>
  <si>
    <t>professionalisation</t>
  </si>
  <si>
    <t>Evolution</t>
  </si>
  <si>
    <t>part CE :</t>
  </si>
  <si>
    <t>Part Salarié :</t>
  </si>
  <si>
    <t>Taux d'appel :</t>
  </si>
  <si>
    <t>nouvelle taxe :</t>
  </si>
  <si>
    <t>nouveau taux d'appel :</t>
  </si>
  <si>
    <t>si 2,61% maintenu :</t>
  </si>
  <si>
    <t>98,51 + 16% =</t>
  </si>
  <si>
    <t>soit une cotisation augmentée théoriquement de :</t>
  </si>
  <si>
    <t>Pour retour à l'équilibre au niveau du groupe, il manque :</t>
  </si>
  <si>
    <t>total cotisé :</t>
  </si>
  <si>
    <t>Différence :</t>
  </si>
  <si>
    <t>base</t>
  </si>
  <si>
    <t>option</t>
  </si>
  <si>
    <t>adulte</t>
  </si>
  <si>
    <t>enfant</t>
  </si>
  <si>
    <t>surplus de cotisation:</t>
  </si>
  <si>
    <t>Famille/mois</t>
  </si>
  <si>
    <t>Famille/an</t>
  </si>
  <si>
    <t>Nombre de personnes</t>
  </si>
  <si>
    <t>TOTAL</t>
  </si>
  <si>
    <t>Salarié</t>
  </si>
  <si>
    <t>Patron</t>
  </si>
  <si>
    <t>MERCER 2015</t>
  </si>
  <si>
    <t>Employeur</t>
  </si>
  <si>
    <t>GRAS SAVOTE 2017</t>
  </si>
  <si>
    <t>Cadre</t>
  </si>
  <si>
    <t>CE</t>
  </si>
  <si>
    <t>employeur</t>
  </si>
  <si>
    <t>salarié</t>
  </si>
  <si>
    <t>salarié+enfant(s)</t>
  </si>
  <si>
    <t>augmentation :</t>
  </si>
  <si>
    <t>Delta</t>
  </si>
  <si>
    <t>Conjoint</t>
  </si>
  <si>
    <t>conjoint</t>
  </si>
  <si>
    <t>Total</t>
  </si>
  <si>
    <t>Non Cadre</t>
  </si>
  <si>
    <t>Tranche A</t>
  </si>
  <si>
    <t>Tranche B</t>
  </si>
  <si>
    <t>Tranche C</t>
  </si>
  <si>
    <r>
      <t xml:space="preserve">Taper </t>
    </r>
    <r>
      <rPr>
        <b/>
        <sz val="10"/>
        <rFont val="Arial"/>
        <family val="2"/>
      </rPr>
      <t xml:space="preserve">oui </t>
    </r>
    <r>
      <rPr>
        <sz val="10"/>
        <rFont val="Arial"/>
        <family val="2"/>
      </rPr>
      <t>ou</t>
    </r>
    <r>
      <rPr>
        <b/>
        <sz val="10"/>
        <rFont val="Arial"/>
        <family val="2"/>
      </rPr>
      <t xml:space="preserve"> non</t>
    </r>
  </si>
  <si>
    <t>CADRE</t>
  </si>
  <si>
    <t>NON CADRE</t>
  </si>
  <si>
    <t>TR A
de  0  à  PMSS</t>
  </si>
  <si>
    <t>TR B
de PMSS à 4xPMSS</t>
  </si>
  <si>
    <t>TR C
de 4xPMSS à 8xPMSS</t>
  </si>
  <si>
    <t>valeur pour calcul :</t>
  </si>
  <si>
    <t>Delta / 2017</t>
  </si>
  <si>
    <t>Participation employeur</t>
  </si>
  <si>
    <t>Participation CE</t>
  </si>
  <si>
    <t>Participation Salarié</t>
  </si>
  <si>
    <t>Option conjoint</t>
  </si>
  <si>
    <r>
      <t xml:space="preserve">Régime optionnel </t>
    </r>
    <r>
      <rPr>
        <sz val="12"/>
        <color rgb="FFFF0000"/>
        <rFont val="Arial"/>
        <family val="2"/>
      </rPr>
      <t>(Rappel : il s'applique pour toute la famille ou personne)</t>
    </r>
  </si>
  <si>
    <t>Nombre d'adulte(s)</t>
  </si>
  <si>
    <t>Nombre d'enfant(s)</t>
  </si>
  <si>
    <t>mensuel</t>
  </si>
  <si>
    <t>annuel</t>
  </si>
  <si>
    <t>GRAS SAVOYE 2018</t>
  </si>
  <si>
    <t>Conjoint :</t>
  </si>
  <si>
    <t>2017 avec +14%</t>
  </si>
  <si>
    <t>2018 avec +14%</t>
  </si>
  <si>
    <t>Total pour le salarié</t>
  </si>
  <si>
    <t>RECAPITULATIF</t>
  </si>
  <si>
    <t>PREVOYANCE 2017</t>
  </si>
  <si>
    <t>PREVOYANCE 2018</t>
  </si>
  <si>
    <t>Total santé + prévoyance</t>
  </si>
  <si>
    <t>Part salarié :</t>
  </si>
  <si>
    <t>différence</t>
  </si>
  <si>
    <t>salarié+
enfant(s)</t>
  </si>
  <si>
    <t>salaire Brut (heure sup, prime,…)</t>
  </si>
  <si>
    <t>PMSS</t>
  </si>
  <si>
    <t>OUI</t>
  </si>
  <si>
    <t>SALARIE CADRE</t>
  </si>
  <si>
    <t>SALARIE NON CADRE</t>
  </si>
  <si>
    <t>Assureur</t>
  </si>
  <si>
    <t>Adulte</t>
  </si>
  <si>
    <t>Enfant</t>
  </si>
  <si>
    <t>SANTE</t>
  </si>
  <si>
    <t>augmentation de 20%</t>
  </si>
  <si>
    <t>contrat initial</t>
  </si>
  <si>
    <t>vérif</t>
  </si>
  <si>
    <t>augmentation de 3,19%</t>
  </si>
  <si>
    <t>réduction 2,23%</t>
  </si>
  <si>
    <t>augmentation 3,19% + nego NAO part employeur+0,10€</t>
  </si>
  <si>
    <t>ANI 4% négo employeur +0,13€</t>
  </si>
  <si>
    <t>INITIAL</t>
  </si>
  <si>
    <t>Non cadre</t>
  </si>
  <si>
    <t>Total option / mois</t>
  </si>
  <si>
    <t>TR B
de PMSS à
4 x PMSS</t>
  </si>
  <si>
    <t>TR C
de 4 x PMSS à
8 x PMSS</t>
  </si>
  <si>
    <t>oui</t>
  </si>
  <si>
    <t>Total option + conjoint / mois</t>
  </si>
  <si>
    <t>total :</t>
  </si>
  <si>
    <t>Retenu sur le salaire (NON CADRE):</t>
  </si>
  <si>
    <t>Retenu sur le salaire (CADRE):</t>
  </si>
  <si>
    <t>Prélevé sur le compte en banque:</t>
  </si>
  <si>
    <t>Retenu sur le salaire (CADRE) :</t>
  </si>
  <si>
    <t>Prélevé sur le compte en banque :</t>
  </si>
  <si>
    <t>Retenu sur le salaire (NON CADRE) :</t>
  </si>
  <si>
    <t>harmonisation groupe</t>
  </si>
  <si>
    <t>nouvelle répartition / Loi</t>
  </si>
  <si>
    <t>variation</t>
  </si>
  <si>
    <t>MOYENNE</t>
  </si>
  <si>
    <t>CONJOINT</t>
  </si>
  <si>
    <t>ANI 4% négo emlpoyeur</t>
  </si>
  <si>
    <t>total</t>
  </si>
  <si>
    <t>MOYENNE SUR 13 ans</t>
  </si>
  <si>
    <t>MOYENNE SUR</t>
  </si>
  <si>
    <t>total sur 13 ans</t>
  </si>
  <si>
    <t>total depuis 2018</t>
  </si>
  <si>
    <t>GRAS SAVOYE 2026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</si>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</sst>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.000%"/>
    <numFmt numFmtId="166" formatCode="#,##0.00&quot; EUROS&quot;"/>
    <numFmt numFmtId="167" formatCode="#,##0.00\ &quot;€&quot;"/>
    <numFmt numFmtId="168" formatCode="0.000"/>
    <numFmt numFmtId="169" formatCode="#,##0.0\ &quot;€&quot;"/>
    <numFmt numFmtId="170" formatCode="0.0"/>
    <numFmt numFmtId="171" formatCode="#,##0\ &quot;€&quot;"/>
    <numFmt numFmtId="172" formatCode="#,##0.00\ [$€-40C];\-#,##0.00\ [$€-40C]"/>
    <numFmt numFmtId="173" formatCode="[$-40C]d\-mmm\-yy;@"/>
    <numFmt numFmtId="174" formatCode="0.0000%"/>
    <numFmt numFmtId="175" formatCode="#,##0.000\ &quot;€&quot;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4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0" fillId="6" borderId="6" xfId="0" applyFill="1" applyBorder="1" applyAlignment="1">
      <alignment horizontal="right"/>
    </xf>
    <xf numFmtId="2" fontId="0" fillId="6" borderId="8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6" fillId="0" borderId="0" xfId="0" applyFont="1"/>
    <xf numFmtId="0" fontId="5" fillId="8" borderId="6" xfId="0" applyFont="1" applyFill="1" applyBorder="1" applyAlignment="1">
      <alignment horizontal="right"/>
    </xf>
    <xf numFmtId="0" fontId="5" fillId="0" borderId="0" xfId="0" applyFont="1"/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11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right"/>
    </xf>
    <xf numFmtId="2" fontId="0" fillId="0" borderId="11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5" xfId="0" applyBorder="1"/>
    <xf numFmtId="166" fontId="0" fillId="4" borderId="10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9" fontId="0" fillId="0" borderId="0" xfId="1" applyFont="1"/>
    <xf numFmtId="9" fontId="7" fillId="0" borderId="0" xfId="1" applyFont="1"/>
    <xf numFmtId="0" fontId="7" fillId="0" borderId="0" xfId="0" applyFont="1"/>
    <xf numFmtId="0" fontId="5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vertical="center" wrapText="1"/>
    </xf>
    <xf numFmtId="0" fontId="0" fillId="3" borderId="1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7" borderId="12" xfId="0" applyFont="1" applyFill="1" applyBorder="1"/>
    <xf numFmtId="0" fontId="4" fillId="7" borderId="1" xfId="0" applyFont="1" applyFill="1" applyBorder="1"/>
    <xf numFmtId="0" fontId="7" fillId="6" borderId="14" xfId="0" applyFont="1" applyFill="1" applyBorder="1" applyAlignment="1">
      <alignment horizontal="center"/>
    </xf>
    <xf numFmtId="10" fontId="7" fillId="6" borderId="14" xfId="1" applyNumberFormat="1" applyFont="1" applyFill="1" applyBorder="1" applyAlignment="1">
      <alignment horizontal="center"/>
    </xf>
    <xf numFmtId="0" fontId="0" fillId="4" borderId="14" xfId="0" applyFill="1" applyBorder="1" applyAlignment="1">
      <alignment horizontal="right"/>
    </xf>
    <xf numFmtId="10" fontId="0" fillId="4" borderId="14" xfId="0" applyNumberForma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10" fontId="5" fillId="4" borderId="14" xfId="0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10" fontId="7" fillId="2" borderId="8" xfId="1" applyNumberFormat="1" applyFont="1" applyFill="1" applyBorder="1" applyAlignment="1">
      <alignment horizontal="center"/>
    </xf>
    <xf numFmtId="9" fontId="0" fillId="0" borderId="0" xfId="1" applyFont="1" applyAlignment="1">
      <alignment horizontal="left"/>
    </xf>
    <xf numFmtId="0" fontId="0" fillId="6" borderId="1" xfId="0" applyFill="1" applyBorder="1" applyAlignment="1">
      <alignment horizontal="right"/>
    </xf>
    <xf numFmtId="2" fontId="0" fillId="6" borderId="13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10" fontId="9" fillId="0" borderId="14" xfId="1" applyNumberFormat="1" applyFont="1" applyFill="1" applyBorder="1" applyAlignment="1">
      <alignment horizontal="center"/>
    </xf>
    <xf numFmtId="10" fontId="7" fillId="6" borderId="20" xfId="1" applyNumberFormat="1" applyFont="1" applyFill="1" applyBorder="1" applyAlignment="1">
      <alignment horizontal="center"/>
    </xf>
    <xf numFmtId="165" fontId="7" fillId="6" borderId="14" xfId="1" applyNumberFormat="1" applyFont="1" applyFill="1" applyBorder="1" applyAlignment="1">
      <alignment horizontal="center"/>
    </xf>
    <xf numFmtId="0" fontId="7" fillId="4" borderId="19" xfId="0" applyFont="1" applyFill="1" applyBorder="1"/>
    <xf numFmtId="10" fontId="7" fillId="6" borderId="0" xfId="1" applyNumberFormat="1" applyFont="1" applyFill="1" applyBorder="1" applyAlignment="1"/>
    <xf numFmtId="10" fontId="7" fillId="6" borderId="21" xfId="1" applyNumberFormat="1" applyFont="1" applyFill="1" applyBorder="1" applyAlignment="1"/>
    <xf numFmtId="0" fontId="7" fillId="2" borderId="6" xfId="0" applyFont="1" applyFill="1" applyBorder="1"/>
    <xf numFmtId="0" fontId="0" fillId="2" borderId="8" xfId="0" applyFill="1" applyBorder="1" applyAlignment="1">
      <alignment horizontal="right"/>
    </xf>
    <xf numFmtId="10" fontId="7" fillId="4" borderId="0" xfId="0" applyNumberFormat="1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0" fillId="2" borderId="7" xfId="0" applyFill="1" applyBorder="1"/>
    <xf numFmtId="0" fontId="7" fillId="4" borderId="18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10" fontId="7" fillId="6" borderId="18" xfId="1" applyNumberFormat="1" applyFont="1" applyFill="1" applyBorder="1" applyAlignment="1">
      <alignment horizontal="centerContinuous"/>
    </xf>
    <xf numFmtId="10" fontId="7" fillId="6" borderId="22" xfId="1" applyNumberFormat="1" applyFont="1" applyFill="1" applyBorder="1" applyAlignment="1">
      <alignment horizontal="centerContinuous"/>
    </xf>
    <xf numFmtId="10" fontId="7" fillId="6" borderId="19" xfId="1" applyNumberFormat="1" applyFont="1" applyFill="1" applyBorder="1" applyAlignment="1">
      <alignment horizontal="centerContinuous"/>
    </xf>
    <xf numFmtId="0" fontId="8" fillId="0" borderId="0" xfId="0" applyFont="1" applyAlignment="1">
      <alignment horizontal="right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0" fontId="11" fillId="0" borderId="14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7" borderId="14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165" fontId="7" fillId="6" borderId="20" xfId="1" applyNumberFormat="1" applyFont="1" applyFill="1" applyBorder="1" applyAlignment="1">
      <alignment horizontal="center"/>
    </xf>
    <xf numFmtId="10" fontId="0" fillId="0" borderId="0" xfId="1" applyNumberFormat="1" applyFont="1"/>
    <xf numFmtId="0" fontId="7" fillId="0" borderId="0" xfId="0" applyFont="1" applyAlignment="1">
      <alignment horizontal="centerContinuous"/>
    </xf>
    <xf numFmtId="10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0" fontId="7" fillId="0" borderId="0" xfId="1" applyNumberFormat="1" applyFont="1" applyFill="1" applyBorder="1" applyAlignment="1">
      <alignment horizontal="centerContinuous"/>
    </xf>
    <xf numFmtId="0" fontId="0" fillId="3" borderId="23" xfId="0" applyFill="1" applyBorder="1" applyAlignment="1">
      <alignment horizontal="center"/>
    </xf>
    <xf numFmtId="166" fontId="0" fillId="2" borderId="16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4" borderId="14" xfId="0" applyFill="1" applyBorder="1" applyAlignment="1">
      <alignment horizontal="right" vertical="center"/>
    </xf>
    <xf numFmtId="10" fontId="7" fillId="4" borderId="14" xfId="0" applyNumberFormat="1" applyFont="1" applyFill="1" applyBorder="1" applyAlignment="1">
      <alignment horizontal="center" vertical="center"/>
    </xf>
    <xf numFmtId="10" fontId="0" fillId="4" borderId="14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165" fontId="0" fillId="2" borderId="14" xfId="0" applyNumberForma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9" borderId="6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7" fontId="5" fillId="9" borderId="8" xfId="0" applyNumberFormat="1" applyFont="1" applyFill="1" applyBorder="1" applyAlignment="1">
      <alignment horizontal="center" vertical="center"/>
    </xf>
    <xf numFmtId="167" fontId="7" fillId="4" borderId="14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4" borderId="14" xfId="0" applyNumberFormat="1" applyFill="1" applyBorder="1" applyAlignment="1">
      <alignment horizontal="center" vertical="center"/>
    </xf>
    <xf numFmtId="167" fontId="0" fillId="2" borderId="14" xfId="0" applyNumberForma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Continuous" vertical="center"/>
    </xf>
    <xf numFmtId="0" fontId="5" fillId="10" borderId="7" xfId="0" applyFont="1" applyFill="1" applyBorder="1" applyAlignment="1">
      <alignment horizontal="centerContinuous" vertical="center"/>
    </xf>
    <xf numFmtId="0" fontId="5" fillId="10" borderId="8" xfId="0" applyFont="1" applyFill="1" applyBorder="1" applyAlignment="1">
      <alignment horizontal="centerContinuous" vertical="center"/>
    </xf>
    <xf numFmtId="0" fontId="6" fillId="10" borderId="7" xfId="0" applyFont="1" applyFill="1" applyBorder="1" applyAlignment="1">
      <alignment horizontal="centerContinuous" vertical="center"/>
    </xf>
    <xf numFmtId="0" fontId="6" fillId="10" borderId="8" xfId="0" applyFont="1" applyFill="1" applyBorder="1" applyAlignment="1">
      <alignment horizontal="centerContinuous" vertical="center"/>
    </xf>
    <xf numFmtId="2" fontId="7" fillId="0" borderId="0" xfId="0" applyNumberFormat="1" applyFont="1" applyAlignment="1">
      <alignment horizontal="left" vertical="center"/>
    </xf>
    <xf numFmtId="165" fontId="0" fillId="0" borderId="9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11" borderId="0" xfId="0" applyFill="1" applyAlignment="1">
      <alignment horizontal="right"/>
    </xf>
    <xf numFmtId="165" fontId="0" fillId="11" borderId="0" xfId="0" applyNumberFormat="1" applyFill="1" applyAlignment="1">
      <alignment horizontal="center"/>
    </xf>
    <xf numFmtId="2" fontId="0" fillId="11" borderId="0" xfId="0" applyNumberFormat="1" applyFill="1" applyAlignment="1">
      <alignment horizontal="center"/>
    </xf>
    <xf numFmtId="0" fontId="1" fillId="11" borderId="0" xfId="0" applyFont="1" applyFill="1" applyAlignment="1">
      <alignment horizontal="right"/>
    </xf>
    <xf numFmtId="0" fontId="4" fillId="11" borderId="0" xfId="0" applyFont="1" applyFill="1" applyAlignment="1">
      <alignment horizontal="center"/>
    </xf>
    <xf numFmtId="0" fontId="0" fillId="9" borderId="0" xfId="0" applyFill="1" applyAlignment="1">
      <alignment horizontal="right"/>
    </xf>
    <xf numFmtId="165" fontId="0" fillId="9" borderId="0" xfId="0" applyNumberFormat="1" applyFill="1" applyAlignment="1">
      <alignment horizontal="center"/>
    </xf>
    <xf numFmtId="2" fontId="0" fillId="9" borderId="0" xfId="0" applyNumberForma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1" fillId="9" borderId="0" xfId="0" applyFont="1" applyFill="1" applyAlignment="1">
      <alignment horizontal="right"/>
    </xf>
    <xf numFmtId="168" fontId="0" fillId="0" borderId="0" xfId="0" applyNumberFormat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/>
    <xf numFmtId="0" fontId="13" fillId="0" borderId="14" xfId="0" applyFont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0" fillId="13" borderId="14" xfId="0" applyFill="1" applyBorder="1" applyAlignment="1">
      <alignment horizontal="center"/>
    </xf>
    <xf numFmtId="9" fontId="0" fillId="13" borderId="14" xfId="1" applyFont="1" applyFill="1" applyBorder="1" applyAlignment="1">
      <alignment horizontal="center"/>
    </xf>
    <xf numFmtId="10" fontId="0" fillId="13" borderId="14" xfId="0" applyNumberFormat="1" applyFill="1" applyBorder="1" applyAlignment="1">
      <alignment horizontal="center"/>
    </xf>
    <xf numFmtId="2" fontId="7" fillId="13" borderId="14" xfId="0" applyNumberFormat="1" applyFont="1" applyFill="1" applyBorder="1" applyAlignment="1">
      <alignment horizontal="center"/>
    </xf>
    <xf numFmtId="2" fontId="0" fillId="13" borderId="14" xfId="0" applyNumberFormat="1" applyFill="1" applyBorder="1" applyAlignment="1">
      <alignment horizontal="center"/>
    </xf>
    <xf numFmtId="2" fontId="0" fillId="15" borderId="14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0" fillId="0" borderId="21" xfId="0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1" fillId="0" borderId="21" xfId="0" applyFont="1" applyBorder="1" applyAlignment="1">
      <alignment horizontal="right"/>
    </xf>
    <xf numFmtId="2" fontId="0" fillId="14" borderId="14" xfId="0" applyNumberFormat="1" applyFill="1" applyBorder="1" applyAlignment="1">
      <alignment horizontal="center" vertical="center"/>
    </xf>
    <xf numFmtId="2" fontId="0" fillId="15" borderId="14" xfId="0" applyNumberFormat="1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/>
    </xf>
    <xf numFmtId="10" fontId="0" fillId="0" borderId="14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10" fontId="0" fillId="0" borderId="27" xfId="1" applyNumberFormat="1" applyFont="1" applyFill="1" applyBorder="1" applyAlignment="1">
      <alignment horizontal="center" vertical="center"/>
    </xf>
    <xf numFmtId="9" fontId="0" fillId="0" borderId="27" xfId="1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10" fontId="0" fillId="0" borderId="28" xfId="1" applyNumberFormat="1" applyFont="1" applyBorder="1" applyAlignment="1">
      <alignment horizontal="center" vertical="center"/>
    </xf>
    <xf numFmtId="9" fontId="0" fillId="0" borderId="28" xfId="1" applyFont="1" applyFill="1" applyBorder="1" applyAlignment="1">
      <alignment horizontal="center"/>
    </xf>
    <xf numFmtId="10" fontId="0" fillId="0" borderId="27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/>
    </xf>
    <xf numFmtId="10" fontId="5" fillId="0" borderId="28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0" fillId="11" borderId="0" xfId="0" applyNumberFormat="1" applyFill="1" applyAlignment="1">
      <alignment horizontal="center"/>
    </xf>
    <xf numFmtId="10" fontId="0" fillId="9" borderId="0" xfId="0" applyNumberFormat="1" applyFill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7" fillId="0" borderId="20" xfId="0" applyNumberFormat="1" applyFont="1" applyBorder="1" applyAlignment="1">
      <alignment horizontal="center"/>
    </xf>
    <xf numFmtId="10" fontId="7" fillId="0" borderId="14" xfId="1" applyNumberFormat="1" applyFont="1" applyFill="1" applyBorder="1" applyAlignment="1" applyProtection="1">
      <alignment horizontal="center"/>
    </xf>
    <xf numFmtId="10" fontId="7" fillId="0" borderId="1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7" xfId="0" applyBorder="1" applyAlignment="1">
      <alignment horizontal="right"/>
    </xf>
    <xf numFmtId="169" fontId="0" fillId="0" borderId="0" xfId="0" applyNumberFormat="1" applyAlignment="1">
      <alignment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0" fontId="7" fillId="12" borderId="14" xfId="0" applyNumberFormat="1" applyFont="1" applyFill="1" applyBorder="1" applyAlignment="1">
      <alignment horizontal="center"/>
    </xf>
    <xf numFmtId="0" fontId="1" fillId="12" borderId="18" xfId="0" applyFont="1" applyFill="1" applyBorder="1" applyAlignment="1">
      <alignment horizontal="left"/>
    </xf>
    <xf numFmtId="0" fontId="0" fillId="15" borderId="14" xfId="0" applyFill="1" applyBorder="1" applyAlignment="1">
      <alignment horizontal="right"/>
    </xf>
    <xf numFmtId="0" fontId="1" fillId="15" borderId="0" xfId="0" applyFont="1" applyFill="1" applyAlignment="1">
      <alignment horizontal="right" vertical="center"/>
    </xf>
    <xf numFmtId="0" fontId="0" fillId="0" borderId="9" xfId="0" applyBorder="1" applyAlignment="1">
      <alignment horizontal="right"/>
    </xf>
    <xf numFmtId="170" fontId="4" fillId="7" borderId="14" xfId="0" applyNumberFormat="1" applyFon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0" fontId="0" fillId="0" borderId="14" xfId="1" applyNumberFormat="1" applyFont="1" applyFill="1" applyBorder="1" applyAlignment="1">
      <alignment horizontal="center"/>
    </xf>
    <xf numFmtId="10" fontId="0" fillId="0" borderId="28" xfId="1" applyNumberFormat="1" applyFont="1" applyFill="1" applyBorder="1" applyAlignment="1">
      <alignment horizontal="center"/>
    </xf>
    <xf numFmtId="10" fontId="0" fillId="0" borderId="27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14" xfId="0" applyBorder="1" applyAlignment="1">
      <alignment horizontal="right"/>
    </xf>
    <xf numFmtId="39" fontId="7" fillId="0" borderId="14" xfId="2" applyNumberFormat="1" applyFont="1" applyFill="1" applyBorder="1" applyAlignment="1">
      <alignment horizontal="center"/>
    </xf>
    <xf numFmtId="0" fontId="18" fillId="16" borderId="16" xfId="0" applyFont="1" applyFill="1" applyBorder="1" applyAlignment="1">
      <alignment horizontal="center" vertical="center"/>
    </xf>
    <xf numFmtId="169" fontId="1" fillId="0" borderId="0" xfId="0" applyNumberFormat="1" applyFont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8" fillId="16" borderId="14" xfId="0" applyFont="1" applyFill="1" applyBorder="1" applyAlignment="1">
      <alignment horizontal="center"/>
    </xf>
    <xf numFmtId="171" fontId="0" fillId="0" borderId="14" xfId="0" applyNumberFormat="1" applyBorder="1" applyAlignment="1">
      <alignment horizontal="center"/>
    </xf>
    <xf numFmtId="0" fontId="19" fillId="7" borderId="7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>
      <alignment horizontal="left"/>
    </xf>
    <xf numFmtId="0" fontId="1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167" fontId="1" fillId="15" borderId="29" xfId="0" applyNumberFormat="1" applyFont="1" applyFill="1" applyBorder="1" applyAlignment="1">
      <alignment horizontal="center" vertical="center"/>
    </xf>
    <xf numFmtId="167" fontId="0" fillId="15" borderId="14" xfId="0" applyNumberFormat="1" applyFill="1" applyBorder="1" applyAlignment="1">
      <alignment horizontal="center"/>
    </xf>
    <xf numFmtId="167" fontId="0" fillId="15" borderId="29" xfId="0" applyNumberFormat="1" applyFill="1" applyBorder="1" applyAlignment="1">
      <alignment horizontal="center"/>
    </xf>
    <xf numFmtId="167" fontId="0" fillId="15" borderId="20" xfId="0" applyNumberFormat="1" applyFill="1" applyBorder="1" applyAlignment="1">
      <alignment horizontal="center"/>
    </xf>
    <xf numFmtId="10" fontId="11" fillId="0" borderId="14" xfId="1" applyNumberFormat="1" applyFont="1" applyFill="1" applyBorder="1" applyAlignment="1">
      <alignment horizontal="center" vertical="center"/>
    </xf>
    <xf numFmtId="10" fontId="13" fillId="0" borderId="14" xfId="1" applyNumberFormat="1" applyFont="1" applyBorder="1" applyAlignment="1">
      <alignment horizontal="center" vertical="center"/>
    </xf>
    <xf numFmtId="10" fontId="7" fillId="0" borderId="0" xfId="1" applyNumberFormat="1" applyFont="1" applyAlignment="1">
      <alignment horizontal="center"/>
    </xf>
    <xf numFmtId="165" fontId="0" fillId="3" borderId="16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14" borderId="18" xfId="0" applyFill="1" applyBorder="1" applyAlignment="1">
      <alignment horizontal="right"/>
    </xf>
    <xf numFmtId="10" fontId="7" fillId="0" borderId="1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14" borderId="18" xfId="0" applyFont="1" applyFill="1" applyBorder="1" applyAlignment="1">
      <alignment horizontal="right"/>
    </xf>
    <xf numFmtId="10" fontId="7" fillId="0" borderId="0" xfId="0" applyNumberFormat="1" applyFont="1" applyAlignment="1">
      <alignment horizontal="center"/>
    </xf>
    <xf numFmtId="9" fontId="0" fillId="0" borderId="14" xfId="1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5" fillId="12" borderId="6" xfId="0" applyFont="1" applyFill="1" applyBorder="1"/>
    <xf numFmtId="0" fontId="15" fillId="12" borderId="7" xfId="0" applyFont="1" applyFill="1" applyBorder="1"/>
    <xf numFmtId="0" fontId="15" fillId="12" borderId="8" xfId="0" applyFont="1" applyFill="1" applyBorder="1"/>
    <xf numFmtId="172" fontId="7" fillId="12" borderId="14" xfId="0" applyNumberFormat="1" applyFont="1" applyFill="1" applyBorder="1" applyAlignment="1">
      <alignment horizontal="center"/>
    </xf>
    <xf numFmtId="0" fontId="0" fillId="12" borderId="8" xfId="0" applyFill="1" applyBorder="1" applyAlignment="1">
      <alignment vertical="center"/>
    </xf>
    <xf numFmtId="0" fontId="1" fillId="12" borderId="14" xfId="0" applyFont="1" applyFill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67" fontId="7" fillId="0" borderId="14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4" fillId="9" borderId="16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/>
    </xf>
    <xf numFmtId="170" fontId="20" fillId="16" borderId="14" xfId="0" applyNumberFormat="1" applyFont="1" applyFill="1" applyBorder="1" applyAlignment="1">
      <alignment horizontal="center"/>
    </xf>
    <xf numFmtId="0" fontId="4" fillId="9" borderId="16" xfId="0" applyFont="1" applyFill="1" applyBorder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1" fillId="0" borderId="0" xfId="1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2" fontId="0" fillId="0" borderId="0" xfId="1" applyNumberFormat="1" applyFont="1" applyAlignment="1">
      <alignment horizontal="left" vertical="center" wrapText="1"/>
    </xf>
    <xf numFmtId="0" fontId="15" fillId="0" borderId="0" xfId="0" applyFont="1"/>
    <xf numFmtId="0" fontId="20" fillId="0" borderId="0" xfId="0" applyFont="1" applyAlignment="1">
      <alignment horizontal="center"/>
    </xf>
    <xf numFmtId="2" fontId="7" fillId="12" borderId="14" xfId="0" applyNumberFormat="1" applyFont="1" applyFill="1" applyBorder="1" applyAlignment="1">
      <alignment horizontal="center"/>
    </xf>
    <xf numFmtId="2" fontId="0" fillId="0" borderId="0" xfId="0" applyNumberFormat="1"/>
    <xf numFmtId="2" fontId="20" fillId="16" borderId="14" xfId="0" applyNumberFormat="1" applyFont="1" applyFill="1" applyBorder="1" applyAlignment="1">
      <alignment horizontal="center"/>
    </xf>
    <xf numFmtId="2" fontId="7" fillId="15" borderId="14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30" xfId="0" applyNumberFormat="1" applyBorder="1" applyAlignment="1">
      <alignment horizontal="center"/>
    </xf>
    <xf numFmtId="167" fontId="1" fillId="15" borderId="29" xfId="0" applyNumberFormat="1" applyFont="1" applyFill="1" applyBorder="1" applyAlignment="1">
      <alignment horizontal="center"/>
    </xf>
    <xf numFmtId="167" fontId="7" fillId="0" borderId="0" xfId="0" applyNumberFormat="1" applyFont="1"/>
    <xf numFmtId="167" fontId="1" fillId="0" borderId="0" xfId="0" applyNumberFormat="1" applyFont="1"/>
    <xf numFmtId="167" fontId="7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18" fillId="17" borderId="14" xfId="0" applyNumberFormat="1" applyFont="1" applyFill="1" applyBorder="1"/>
    <xf numFmtId="167" fontId="18" fillId="17" borderId="14" xfId="0" applyNumberFormat="1" applyFont="1" applyFill="1" applyBorder="1" applyAlignment="1">
      <alignment horizontal="right"/>
    </xf>
    <xf numFmtId="167" fontId="18" fillId="17" borderId="14" xfId="0" applyNumberFormat="1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 vertical="center"/>
    </xf>
    <xf numFmtId="0" fontId="18" fillId="16" borderId="14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0" fillId="16" borderId="16" xfId="0" applyFont="1" applyFill="1" applyBorder="1" applyAlignment="1" applyProtection="1">
      <alignment horizontal="center" vertical="center"/>
      <protection locked="0"/>
    </xf>
    <xf numFmtId="0" fontId="20" fillId="16" borderId="14" xfId="0" applyFont="1" applyFill="1" applyBorder="1" applyAlignment="1" applyProtection="1">
      <alignment horizontal="center"/>
      <protection locked="0"/>
    </xf>
    <xf numFmtId="173" fontId="0" fillId="0" borderId="0" xfId="1" applyNumberFormat="1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/>
    </xf>
    <xf numFmtId="165" fontId="7" fillId="0" borderId="14" xfId="1" applyNumberFormat="1" applyFont="1" applyFill="1" applyBorder="1" applyAlignment="1" applyProtection="1">
      <alignment horizontal="center"/>
    </xf>
    <xf numFmtId="165" fontId="4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15" fillId="12" borderId="7" xfId="0" applyNumberFormat="1" applyFont="1" applyFill="1" applyBorder="1"/>
    <xf numFmtId="165" fontId="0" fillId="0" borderId="27" xfId="0" applyNumberFormat="1" applyBorder="1" applyAlignment="1">
      <alignment horizontal="right"/>
    </xf>
    <xf numFmtId="173" fontId="22" fillId="12" borderId="14" xfId="0" applyNumberFormat="1" applyFont="1" applyFill="1" applyBorder="1" applyAlignment="1">
      <alignment horizontal="center" vertical="center"/>
    </xf>
    <xf numFmtId="10" fontId="21" fillId="0" borderId="0" xfId="1" applyNumberFormat="1" applyFont="1" applyBorder="1" applyAlignment="1">
      <alignment horizontal="center" vertical="center"/>
    </xf>
    <xf numFmtId="10" fontId="21" fillId="0" borderId="0" xfId="1" applyNumberFormat="1" applyFont="1" applyFill="1" applyBorder="1" applyAlignment="1" applyProtection="1">
      <alignment horizontal="center" vertical="center"/>
    </xf>
    <xf numFmtId="174" fontId="0" fillId="0" borderId="0" xfId="0" applyNumberFormat="1" applyAlignment="1">
      <alignment vertical="center"/>
    </xf>
    <xf numFmtId="175" fontId="0" fillId="0" borderId="0" xfId="0" applyNumberFormat="1"/>
    <xf numFmtId="175" fontId="4" fillId="0" borderId="0" xfId="0" applyNumberFormat="1" applyFont="1" applyAlignment="1">
      <alignment vertical="center"/>
    </xf>
    <xf numFmtId="167" fontId="7" fillId="15" borderId="14" xfId="0" applyNumberFormat="1" applyFont="1" applyFill="1" applyBorder="1" applyAlignment="1">
      <alignment horizontal="center" vertical="center"/>
    </xf>
    <xf numFmtId="172" fontId="20" fillId="16" borderId="14" xfId="0" applyNumberFormat="1" applyFont="1" applyFill="1" applyBorder="1" applyAlignment="1">
      <alignment horizontal="center"/>
    </xf>
    <xf numFmtId="10" fontId="4" fillId="0" borderId="0" xfId="0" applyNumberFormat="1" applyFont="1" applyAlignment="1">
      <alignment vertical="center"/>
    </xf>
    <xf numFmtId="169" fontId="0" fillId="0" borderId="14" xfId="0" applyNumberFormat="1" applyBorder="1" applyAlignment="1">
      <alignment horizontal="center"/>
    </xf>
    <xf numFmtId="0" fontId="1" fillId="18" borderId="14" xfId="0" applyFont="1" applyFill="1" applyBorder="1" applyAlignment="1">
      <alignment horizontal="right"/>
    </xf>
    <xf numFmtId="10" fontId="7" fillId="18" borderId="14" xfId="0" applyNumberFormat="1" applyFont="1" applyFill="1" applyBorder="1" applyAlignment="1">
      <alignment horizontal="center"/>
    </xf>
    <xf numFmtId="10" fontId="7" fillId="18" borderId="14" xfId="1" applyNumberFormat="1" applyFont="1" applyFill="1" applyBorder="1" applyAlignment="1" applyProtection="1">
      <alignment horizontal="center"/>
    </xf>
    <xf numFmtId="167" fontId="7" fillId="18" borderId="14" xfId="0" applyNumberFormat="1" applyFont="1" applyFill="1" applyBorder="1" applyAlignment="1">
      <alignment horizontal="center"/>
    </xf>
    <xf numFmtId="0" fontId="20" fillId="16" borderId="14" xfId="0" applyFont="1" applyFill="1" applyBorder="1" applyAlignment="1">
      <alignment horizontal="right"/>
    </xf>
    <xf numFmtId="167" fontId="7" fillId="0" borderId="0" xfId="0" applyNumberFormat="1" applyFont="1" applyAlignment="1" applyProtection="1">
      <alignment horizontal="center" vertical="center"/>
      <protection locked="0"/>
    </xf>
    <xf numFmtId="0" fontId="6" fillId="10" borderId="6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15" fillId="12" borderId="18" xfId="0" applyFont="1" applyFill="1" applyBorder="1"/>
    <xf numFmtId="0" fontId="15" fillId="12" borderId="22" xfId="0" applyFont="1" applyFill="1" applyBorder="1"/>
    <xf numFmtId="0" fontId="15" fillId="12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2" fontId="0" fillId="0" borderId="0" xfId="0" applyNumberFormat="1" applyAlignment="1">
      <alignment vertical="center"/>
    </xf>
    <xf numFmtId="0" fontId="23" fillId="0" borderId="0" xfId="3" quotePrefix="1"/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167" fontId="7" fillId="15" borderId="16" xfId="0" applyNumberFormat="1" applyFont="1" applyFill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right" vertical="center"/>
    </xf>
    <xf numFmtId="2" fontId="1" fillId="18" borderId="0" xfId="0" applyNumberFormat="1" applyFont="1" applyFill="1" applyAlignment="1">
      <alignment horizontal="center" vertical="center"/>
    </xf>
    <xf numFmtId="2" fontId="1" fillId="18" borderId="0" xfId="1" applyNumberFormat="1" applyFont="1" applyFill="1" applyBorder="1" applyAlignment="1">
      <alignment horizontal="center" vertical="center"/>
    </xf>
    <xf numFmtId="2" fontId="0" fillId="18" borderId="0" xfId="1" applyNumberFormat="1" applyFont="1" applyFill="1" applyAlignment="1">
      <alignment horizontal="center" vertical="center"/>
    </xf>
    <xf numFmtId="10" fontId="0" fillId="18" borderId="0" xfId="1" applyNumberFormat="1" applyFont="1" applyFill="1" applyAlignment="1">
      <alignment horizontal="center" vertical="center"/>
    </xf>
    <xf numFmtId="2" fontId="0" fillId="18" borderId="0" xfId="0" applyNumberFormat="1" applyFill="1" applyAlignment="1">
      <alignment horizontal="center" vertical="center"/>
    </xf>
    <xf numFmtId="2" fontId="1" fillId="20" borderId="0" xfId="0" applyNumberFormat="1" applyFont="1" applyFill="1" applyAlignment="1">
      <alignment horizontal="center" vertical="center"/>
    </xf>
    <xf numFmtId="2" fontId="1" fillId="20" borderId="0" xfId="1" applyNumberFormat="1" applyFont="1" applyFill="1" applyBorder="1" applyAlignment="1">
      <alignment horizontal="center" vertical="center"/>
    </xf>
    <xf numFmtId="2" fontId="0" fillId="20" borderId="0" xfId="1" applyNumberFormat="1" applyFont="1" applyFill="1" applyAlignment="1">
      <alignment horizontal="center" vertical="center"/>
    </xf>
    <xf numFmtId="10" fontId="0" fillId="20" borderId="0" xfId="1" applyNumberFormat="1" applyFont="1" applyFill="1" applyAlignment="1">
      <alignment horizontal="center" vertical="center"/>
    </xf>
    <xf numFmtId="2" fontId="0" fillId="20" borderId="0" xfId="0" applyNumberFormat="1" applyFill="1" applyAlignment="1">
      <alignment horizontal="center" vertical="center"/>
    </xf>
    <xf numFmtId="2" fontId="0" fillId="18" borderId="0" xfId="0" applyNumberFormat="1" applyFill="1" applyAlignment="1">
      <alignment horizontal="left" vertical="center" wrapText="1"/>
    </xf>
    <xf numFmtId="2" fontId="0" fillId="18" borderId="0" xfId="1" applyNumberFormat="1" applyFont="1" applyFill="1" applyAlignment="1">
      <alignment horizontal="left" vertical="center" wrapText="1"/>
    </xf>
    <xf numFmtId="2" fontId="0" fillId="18" borderId="0" xfId="0" applyNumberFormat="1" applyFill="1" applyAlignment="1">
      <alignment horizontal="left" vertical="center"/>
    </xf>
    <xf numFmtId="168" fontId="1" fillId="20" borderId="0" xfId="1" applyNumberFormat="1" applyFont="1" applyFill="1" applyBorder="1" applyAlignment="1">
      <alignment horizontal="center" vertical="center"/>
    </xf>
    <xf numFmtId="168" fontId="0" fillId="20" borderId="0" xfId="1" applyNumberFormat="1" applyFont="1" applyFill="1" applyAlignment="1">
      <alignment horizontal="center" vertical="center"/>
    </xf>
    <xf numFmtId="168" fontId="0" fillId="20" borderId="0" xfId="0" applyNumberFormat="1" applyFill="1" applyAlignment="1">
      <alignment horizontal="center" vertical="center"/>
    </xf>
    <xf numFmtId="10" fontId="0" fillId="13" borderId="0" xfId="1" applyNumberFormat="1" applyFont="1" applyFill="1" applyAlignment="1">
      <alignment horizontal="center" vertical="center"/>
    </xf>
    <xf numFmtId="2" fontId="1" fillId="13" borderId="0" xfId="0" applyNumberFormat="1" applyFont="1" applyFill="1" applyAlignment="1">
      <alignment horizontal="center" vertical="center"/>
    </xf>
    <xf numFmtId="2" fontId="0" fillId="13" borderId="0" xfId="1" applyNumberFormat="1" applyFont="1" applyFill="1" applyAlignment="1">
      <alignment horizontal="left" vertical="center" wrapText="1"/>
    </xf>
    <xf numFmtId="2" fontId="1" fillId="13" borderId="0" xfId="1" applyNumberFormat="1" applyFont="1" applyFill="1" applyBorder="1" applyAlignment="1">
      <alignment horizontal="center" vertical="center"/>
    </xf>
    <xf numFmtId="2" fontId="0" fillId="13" borderId="0" xfId="1" applyNumberFormat="1" applyFont="1" applyFill="1" applyAlignment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2" fontId="1" fillId="12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left" vertical="center" wrapText="1"/>
    </xf>
    <xf numFmtId="2" fontId="0" fillId="11" borderId="0" xfId="1" applyNumberFormat="1" applyFont="1" applyFill="1" applyAlignment="1">
      <alignment horizontal="right" vertical="center" wrapText="1"/>
    </xf>
    <xf numFmtId="10" fontId="1" fillId="0" borderId="0" xfId="1" applyNumberFormat="1" applyFont="1" applyFill="1" applyBorder="1" applyAlignment="1">
      <alignment horizontal="center" vertical="center"/>
    </xf>
    <xf numFmtId="10" fontId="0" fillId="11" borderId="0" xfId="1" applyNumberFormat="1" applyFont="1" applyFill="1" applyAlignment="1">
      <alignment horizontal="center" vertical="center"/>
    </xf>
    <xf numFmtId="10" fontId="0" fillId="12" borderId="0" xfId="1" applyNumberFormat="1" applyFont="1" applyFill="1" applyAlignment="1">
      <alignment horizontal="center" vertical="center"/>
    </xf>
    <xf numFmtId="2" fontId="1" fillId="21" borderId="0" xfId="0" applyNumberFormat="1" applyFont="1" applyFill="1" applyAlignment="1">
      <alignment horizontal="center" vertical="center"/>
    </xf>
    <xf numFmtId="2" fontId="1" fillId="21" borderId="0" xfId="1" applyNumberFormat="1" applyFont="1" applyFill="1" applyBorder="1" applyAlignment="1">
      <alignment horizontal="center" vertical="center"/>
    </xf>
    <xf numFmtId="2" fontId="0" fillId="21" borderId="0" xfId="1" applyNumberFormat="1" applyFont="1" applyFill="1" applyAlignment="1">
      <alignment horizontal="center" vertical="center"/>
    </xf>
    <xf numFmtId="10" fontId="0" fillId="21" borderId="0" xfId="1" applyNumberFormat="1" applyFont="1" applyFill="1" applyAlignment="1">
      <alignment horizontal="center" vertical="center"/>
    </xf>
    <xf numFmtId="2" fontId="0" fillId="21" borderId="0" xfId="0" applyNumberFormat="1" applyFill="1" applyAlignment="1">
      <alignment horizontal="center" vertical="center"/>
    </xf>
    <xf numFmtId="172" fontId="20" fillId="16" borderId="14" xfId="0" applyNumberFormat="1" applyFont="1" applyFill="1" applyBorder="1" applyAlignment="1" applyProtection="1">
      <alignment horizontal="center"/>
      <protection locked="0"/>
    </xf>
    <xf numFmtId="166" fontId="0" fillId="2" borderId="6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0" fontId="7" fillId="0" borderId="0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2" fontId="0" fillId="19" borderId="0" xfId="0" applyNumberFormat="1" applyFill="1" applyAlignment="1">
      <alignment horizontal="center" vertical="center"/>
    </xf>
    <xf numFmtId="2" fontId="0" fillId="13" borderId="0" xfId="0" applyNumberFormat="1" applyFill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12" borderId="0" xfId="0" applyFont="1" applyFill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15" fillId="12" borderId="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15" fillId="12" borderId="8" xfId="0" applyFont="1" applyFill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167" fontId="6" fillId="0" borderId="22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/>
    </xf>
    <xf numFmtId="0" fontId="5" fillId="12" borderId="27" xfId="0" applyFont="1" applyFill="1" applyBorder="1" applyAlignment="1">
      <alignment horizontal="center"/>
    </xf>
    <xf numFmtId="167" fontId="7" fillId="15" borderId="14" xfId="0" applyNumberFormat="1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20" fillId="16" borderId="18" xfId="0" applyNumberFormat="1" applyFont="1" applyFill="1" applyBorder="1" applyAlignment="1">
      <alignment horizontal="center"/>
    </xf>
    <xf numFmtId="167" fontId="20" fillId="16" borderId="19" xfId="0" applyNumberFormat="1" applyFont="1" applyFill="1" applyBorder="1" applyAlignment="1">
      <alignment horizontal="center"/>
    </xf>
  </cellXfs>
  <cellStyles count="4">
    <cellStyle name="Lien hypertexte" xfId="3" builtinId="8"/>
    <cellStyle name="Milliers" xfId="2" builtinId="3"/>
    <cellStyle name="Normal" xfId="0" builtinId="0"/>
    <cellStyle name="Pourcentage" xfId="1" builtinId="5"/>
  </cellStyles>
  <dxfs count="1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CADRE - NON CADRE'!G2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GRAS SAVOYE 2018 SITE C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151156</xdr:colOff>
      <xdr:row>21</xdr:row>
      <xdr:rowOff>167711</xdr:rowOff>
    </xdr:from>
    <xdr:to>
      <xdr:col>17</xdr:col>
      <xdr:colOff>534726</xdr:colOff>
      <xdr:row>28</xdr:row>
      <xdr:rowOff>168952</xdr:rowOff>
    </xdr:to>
    <xdr:sp macro="" textlink="">
      <xdr:nvSpPr>
        <xdr:cNvPr id="2" name="Plaqu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349689" y="4096244"/>
          <a:ext cx="2745770" cy="1211975"/>
        </a:xfrm>
        <a:prstGeom prst="bevel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2400" b="1"/>
            <a:t>CLIC</a:t>
          </a:r>
          <a:r>
            <a:rPr lang="fr-FR" sz="2400" b="1" baseline="0"/>
            <a:t> ICI</a:t>
          </a:r>
          <a:endParaRPr lang="fr-FR" sz="2400" b="1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162277</xdr:colOff>
      <xdr:row>25</xdr:row>
      <xdr:rowOff>14111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88556" y="4628444"/>
          <a:ext cx="162277" cy="1763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162277</xdr:colOff>
      <xdr:row>26</xdr:row>
      <xdr:rowOff>155222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V="1">
          <a:off x="4388556" y="4953000"/>
          <a:ext cx="162277" cy="155222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400208</xdr:colOff>
      <xdr:row>24</xdr:row>
      <xdr:rowOff>10160</xdr:rowOff>
    </xdr:from>
    <xdr:to>
      <xdr:col>7</xdr:col>
      <xdr:colOff>981710</xdr:colOff>
      <xdr:row>27</xdr:row>
      <xdr:rowOff>129540</xdr:rowOff>
    </xdr:to>
    <xdr:sp macro="" textlink="">
      <xdr:nvSpPr>
        <xdr:cNvPr id="2" name="Plaqu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772308" y="3865880"/>
          <a:ext cx="1373982" cy="683260"/>
        </a:xfrm>
        <a:prstGeom prst="bevel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RETOUR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workbookViewId="0"/>
  </sheetViews>
  <sheetFormatPr baseColWidth="10" defaultRowHeight="12.75" x14ac:dyDescent="0.2"/>
  <cols>
    <col min="1" max="1" width="28.85546875" bestFit="1" customWidth="1"/>
    <col min="2" max="2" width="11.42578125" style="5"/>
    <col min="3" max="3" width="18.85546875" style="1" customWidth="1"/>
    <col min="4" max="4" width="12.7109375" style="1" bestFit="1" customWidth="1"/>
    <col min="8" max="8" width="9.28515625" style="56" customWidth="1"/>
    <col min="9" max="10" width="7.28515625" bestFit="1" customWidth="1"/>
    <col min="11" max="12" width="11.42578125" style="50" hidden="1" customWidth="1"/>
    <col min="13" max="15" width="11.42578125" hidden="1" customWidth="1"/>
    <col min="16" max="16" width="7.28515625" bestFit="1" customWidth="1"/>
  </cols>
  <sheetData>
    <row r="1" spans="1:15" ht="13.5" thickBot="1" x14ac:dyDescent="0.25">
      <c r="K1" s="55">
        <v>0.55000000000000004</v>
      </c>
      <c r="M1" t="s">
        <v>31</v>
      </c>
    </row>
    <row r="2" spans="1:15" s="24" customFormat="1" ht="13.5" thickBot="1" x14ac:dyDescent="0.25">
      <c r="B2" s="23" t="s">
        <v>0</v>
      </c>
      <c r="C2" s="25">
        <v>3321</v>
      </c>
      <c r="D2" s="26"/>
      <c r="H2" s="56" t="s">
        <v>37</v>
      </c>
      <c r="I2" s="52">
        <v>2010</v>
      </c>
      <c r="J2" s="51">
        <v>2885</v>
      </c>
      <c r="K2" s="56">
        <f>J2*$K$1</f>
        <v>1586.7500000000002</v>
      </c>
      <c r="M2" s="24">
        <v>9</v>
      </c>
      <c r="N2" s="24" t="s">
        <v>32</v>
      </c>
    </row>
    <row r="3" spans="1:15" x14ac:dyDescent="0.2">
      <c r="H3" s="78">
        <f>IF(SUM((J3-J2)/J2)&gt;0,SUM((J3-J2)/J2)," ")</f>
        <v>2.1143847487001734E-2</v>
      </c>
      <c r="I3" s="52">
        <v>2011</v>
      </c>
      <c r="J3" s="51">
        <v>2946</v>
      </c>
      <c r="K3" s="56">
        <f>J3*$K$1</f>
        <v>1620.3000000000002</v>
      </c>
      <c r="M3">
        <v>35</v>
      </c>
      <c r="N3" t="s">
        <v>33</v>
      </c>
    </row>
    <row r="4" spans="1:15" ht="15.75" x14ac:dyDescent="0.25">
      <c r="A4" s="22" t="s">
        <v>12</v>
      </c>
      <c r="H4" s="78">
        <f>IF(SUM((J4-J3)/J3)&gt;0,SUM((J4-J3)/J3)," ")</f>
        <v>2.8852681602172438E-2</v>
      </c>
      <c r="I4" s="52">
        <v>2012</v>
      </c>
      <c r="J4" s="51">
        <v>3031</v>
      </c>
      <c r="K4" s="56">
        <f>J4*$K$1</f>
        <v>1667.0500000000002</v>
      </c>
      <c r="M4">
        <f>35*52/12</f>
        <v>151.66666666666666</v>
      </c>
      <c r="N4" t="s">
        <v>34</v>
      </c>
    </row>
    <row r="5" spans="1:15" x14ac:dyDescent="0.2">
      <c r="C5" s="15" t="s">
        <v>1</v>
      </c>
      <c r="D5" s="15" t="s">
        <v>5</v>
      </c>
      <c r="H5" s="78" t="str">
        <f>IF(SUM((J5-J4)/J4)&gt;0,SUM((J5-J4)/J4)," ")</f>
        <v xml:space="preserve"> </v>
      </c>
      <c r="I5" s="52">
        <v>2013</v>
      </c>
      <c r="J5" s="51"/>
      <c r="K5" s="56">
        <f>J5*$K$1</f>
        <v>0</v>
      </c>
      <c r="M5">
        <f>M4*M2</f>
        <v>1365</v>
      </c>
      <c r="N5" t="s">
        <v>35</v>
      </c>
    </row>
    <row r="6" spans="1:15" ht="13.5" thickBot="1" x14ac:dyDescent="0.25">
      <c r="A6" s="54">
        <v>1</v>
      </c>
      <c r="B6" s="16" t="s">
        <v>2</v>
      </c>
      <c r="C6" s="86">
        <v>3.15E-2</v>
      </c>
      <c r="D6" s="87">
        <f>$C$2*C6</f>
        <v>104.61150000000001</v>
      </c>
      <c r="H6" s="78" t="e">
        <f>IF(SUM((J6-J5)/J5)&gt;0,SUM((J6-J5)/J5)," ")</f>
        <v>#DIV/0!</v>
      </c>
      <c r="I6" s="52">
        <v>2014</v>
      </c>
      <c r="J6" s="51"/>
      <c r="K6" s="50">
        <f>J6*$K$1</f>
        <v>0</v>
      </c>
      <c r="M6" s="54">
        <v>0.55000000000000004</v>
      </c>
      <c r="N6" t="s">
        <v>36</v>
      </c>
    </row>
    <row r="7" spans="1:15" ht="13.5" thickBot="1" x14ac:dyDescent="0.25">
      <c r="A7" s="107">
        <f>C7/C6</f>
        <v>0.82857142857142863</v>
      </c>
      <c r="B7" s="66" t="s">
        <v>3</v>
      </c>
      <c r="C7" s="67">
        <v>2.6100000000000002E-2</v>
      </c>
      <c r="D7" s="68">
        <f t="shared" ref="D7:D12" si="0">$C$2*C7</f>
        <v>86.678100000000001</v>
      </c>
      <c r="E7" s="6">
        <f>SUM(D7:D8)</f>
        <v>104.61150000000001</v>
      </c>
      <c r="F7" s="12" t="s">
        <v>38</v>
      </c>
      <c r="G7" s="13">
        <f>D20</f>
        <v>22.877099999999999</v>
      </c>
      <c r="H7" s="78" t="e">
        <f>IF(SUM((J7-J6)/J6)&gt;0,SUM((J7-J6)/J6)," ")</f>
        <v>#DIV/0!</v>
      </c>
      <c r="I7" s="52">
        <v>2015</v>
      </c>
      <c r="J7" s="51"/>
      <c r="M7">
        <f>M5*M6</f>
        <v>750.75000000000011</v>
      </c>
      <c r="N7" t="s">
        <v>35</v>
      </c>
    </row>
    <row r="8" spans="1:15" x14ac:dyDescent="0.2">
      <c r="A8" s="107">
        <f>A6-A7</f>
        <v>0.17142857142857137</v>
      </c>
      <c r="B8" s="66" t="s">
        <v>4</v>
      </c>
      <c r="C8" s="69">
        <v>5.4000000000000003E-3</v>
      </c>
      <c r="D8" s="68">
        <f t="shared" si="0"/>
        <v>17.933400000000002</v>
      </c>
    </row>
    <row r="9" spans="1:15" x14ac:dyDescent="0.2">
      <c r="D9" s="6"/>
      <c r="H9" s="56" t="e">
        <v>#DIV/0!</v>
      </c>
    </row>
    <row r="10" spans="1:15" x14ac:dyDescent="0.2">
      <c r="C10" s="19" t="s">
        <v>6</v>
      </c>
      <c r="D10" s="19" t="s">
        <v>29</v>
      </c>
      <c r="F10" s="19" t="s">
        <v>30</v>
      </c>
    </row>
    <row r="11" spans="1:15" x14ac:dyDescent="0.2">
      <c r="B11" s="17" t="s">
        <v>7</v>
      </c>
      <c r="C11" s="53">
        <v>3.1199999999999999E-3</v>
      </c>
      <c r="D11" s="18">
        <f t="shared" si="0"/>
        <v>10.361520000000001</v>
      </c>
      <c r="F11" s="18">
        <f>D11*12</f>
        <v>124.33824000000001</v>
      </c>
      <c r="H11"/>
    </row>
    <row r="12" spans="1:15" x14ac:dyDescent="0.2">
      <c r="B12" s="17" t="s">
        <v>8</v>
      </c>
      <c r="C12" s="53">
        <v>1.4E-3</v>
      </c>
      <c r="D12" s="18">
        <f t="shared" si="0"/>
        <v>4.6494</v>
      </c>
      <c r="F12" s="18">
        <f>D12*12</f>
        <v>55.7928</v>
      </c>
      <c r="H12"/>
      <c r="K12" s="52" t="s">
        <v>52</v>
      </c>
    </row>
    <row r="13" spans="1:15" x14ac:dyDescent="0.2">
      <c r="H13"/>
      <c r="K13" s="80">
        <v>1.4E-3</v>
      </c>
    </row>
    <row r="14" spans="1:15" x14ac:dyDescent="0.2">
      <c r="B14" s="57"/>
      <c r="C14" s="58"/>
      <c r="D14" s="58"/>
      <c r="E14" s="58"/>
      <c r="F14" s="59"/>
      <c r="G14" s="56"/>
      <c r="H14"/>
      <c r="I14" s="56"/>
      <c r="J14" s="56"/>
      <c r="L14"/>
      <c r="O14" s="81"/>
    </row>
    <row r="15" spans="1:15" x14ac:dyDescent="0.2">
      <c r="G15" s="50"/>
      <c r="H15" s="50"/>
      <c r="I15" s="50"/>
      <c r="J15" s="50"/>
      <c r="L15"/>
      <c r="O15" s="52" t="s">
        <v>52</v>
      </c>
    </row>
    <row r="16" spans="1:15" ht="13.5" thickBot="1" x14ac:dyDescent="0.25">
      <c r="C16" s="8">
        <v>2.3630000000000002E-2</v>
      </c>
      <c r="D16" s="7"/>
      <c r="G16" s="5"/>
      <c r="H16" s="109"/>
      <c r="I16" s="110"/>
      <c r="J16" s="110"/>
      <c r="L16"/>
      <c r="O16" s="80">
        <v>1.4E-3</v>
      </c>
    </row>
    <row r="17" spans="1:15" ht="13.5" thickBot="1" x14ac:dyDescent="0.25">
      <c r="B17" s="20" t="s">
        <v>10</v>
      </c>
      <c r="C17" s="14"/>
      <c r="D17" s="21">
        <v>2700</v>
      </c>
      <c r="G17" s="5"/>
      <c r="H17" s="390"/>
      <c r="I17" s="390"/>
      <c r="J17" s="390"/>
      <c r="K17" s="82"/>
      <c r="L17" s="82"/>
      <c r="M17" s="82"/>
      <c r="N17" s="82"/>
      <c r="O17" s="83"/>
    </row>
    <row r="18" spans="1:15" ht="13.5" thickBot="1" x14ac:dyDescent="0.25">
      <c r="B18" s="9"/>
      <c r="C18" s="10" t="s">
        <v>11</v>
      </c>
      <c r="D18" s="11">
        <v>3</v>
      </c>
      <c r="G18" s="5"/>
      <c r="H18" s="109"/>
      <c r="I18" s="109"/>
      <c r="J18" s="109"/>
      <c r="L18"/>
      <c r="O18" s="79">
        <f>O16*$H$16+O16</f>
        <v>1.4E-3</v>
      </c>
    </row>
    <row r="19" spans="1:15" ht="13.5" thickBot="1" x14ac:dyDescent="0.25">
      <c r="C19" s="12" t="s">
        <v>39</v>
      </c>
      <c r="D19" s="13">
        <f>IF(D17&lt;C2,D17*C16,D7-D18)</f>
        <v>63.801000000000002</v>
      </c>
      <c r="G19" s="56"/>
      <c r="H19"/>
      <c r="I19" s="50"/>
      <c r="J19" s="50"/>
    </row>
    <row r="20" spans="1:15" ht="13.5" thickBot="1" x14ac:dyDescent="0.25">
      <c r="C20" s="12" t="s">
        <v>9</v>
      </c>
      <c r="D20" s="13">
        <f>IF(D17&lt;C2,D7-D19,3)</f>
        <v>22.877099999999999</v>
      </c>
      <c r="H20"/>
    </row>
    <row r="21" spans="1:15" x14ac:dyDescent="0.2">
      <c r="C21" s="76" t="s">
        <v>47</v>
      </c>
      <c r="D21" s="77">
        <f>SUM(D8,D19,D20)</f>
        <v>104.61150000000001</v>
      </c>
    </row>
    <row r="22" spans="1:15" ht="16.5" thickBot="1" x14ac:dyDescent="0.3">
      <c r="A22" s="22" t="s">
        <v>13</v>
      </c>
    </row>
    <row r="23" spans="1:15" ht="13.5" thickBot="1" x14ac:dyDescent="0.25">
      <c r="A23" s="20" t="s">
        <v>20</v>
      </c>
      <c r="B23" s="21">
        <f>D17</f>
        <v>2700</v>
      </c>
      <c r="C23"/>
    </row>
    <row r="24" spans="1:15" s="29" customFormat="1" x14ac:dyDescent="0.2">
      <c r="A24" s="27"/>
      <c r="B24" s="28"/>
      <c r="D24" s="28"/>
      <c r="H24" s="56"/>
      <c r="K24" s="50"/>
      <c r="L24" s="50"/>
    </row>
    <row r="25" spans="1:15" s="29" customFormat="1" x14ac:dyDescent="0.2">
      <c r="A25" s="49" t="s">
        <v>24</v>
      </c>
      <c r="B25" s="27" t="s">
        <v>27</v>
      </c>
      <c r="D25" s="28"/>
      <c r="H25" s="56"/>
      <c r="K25" s="50"/>
      <c r="L25" s="50"/>
    </row>
    <row r="26" spans="1:15" s="29" customFormat="1" x14ac:dyDescent="0.2">
      <c r="A26" s="49" t="s">
        <v>25</v>
      </c>
      <c r="B26" s="27" t="s">
        <v>28</v>
      </c>
      <c r="D26" s="28"/>
      <c r="H26" s="56"/>
      <c r="K26" s="50"/>
      <c r="L26" s="50"/>
    </row>
    <row r="27" spans="1:15" s="29" customFormat="1" ht="13.5" thickBot="1" x14ac:dyDescent="0.25">
      <c r="A27" s="27"/>
      <c r="B27" s="28"/>
      <c r="D27" s="28"/>
      <c r="H27" s="56"/>
      <c r="K27" s="50"/>
      <c r="L27" s="50"/>
    </row>
    <row r="28" spans="1:15" ht="13.5" thickBot="1" x14ac:dyDescent="0.25">
      <c r="B28" s="391" t="s">
        <v>19</v>
      </c>
      <c r="C28" s="392"/>
      <c r="E28" s="391" t="s">
        <v>18</v>
      </c>
      <c r="F28" s="392"/>
    </row>
    <row r="29" spans="1:15" s="1" customFormat="1" x14ac:dyDescent="0.2">
      <c r="A29" s="32"/>
      <c r="B29" s="60" t="s">
        <v>14</v>
      </c>
      <c r="C29" s="60" t="s">
        <v>23</v>
      </c>
      <c r="D29" s="33"/>
      <c r="E29" s="60" t="s">
        <v>14</v>
      </c>
      <c r="F29" s="61" t="s">
        <v>15</v>
      </c>
      <c r="H29" s="50"/>
      <c r="K29" s="50"/>
      <c r="L29" s="50"/>
    </row>
    <row r="30" spans="1:15" x14ac:dyDescent="0.2">
      <c r="A30" s="62" t="s">
        <v>16</v>
      </c>
      <c r="B30" s="8">
        <v>6.5199999999999998E-3</v>
      </c>
      <c r="C30" s="31">
        <v>8.5000000000000006E-3</v>
      </c>
      <c r="E30" s="8">
        <v>8.4799999999999997E-3</v>
      </c>
      <c r="F30" s="34">
        <v>8.9999999999999993E-3</v>
      </c>
    </row>
    <row r="31" spans="1:15" x14ac:dyDescent="0.2">
      <c r="A31" s="35" t="s">
        <v>22</v>
      </c>
      <c r="B31" s="1">
        <f>IF(B23&lt;C2,B23,C2)</f>
        <v>2700</v>
      </c>
      <c r="C31" s="1">
        <f>IF(B23&lt;C2,0,B23-C2)</f>
        <v>0</v>
      </c>
      <c r="E31" s="1">
        <f>IF(B23&lt;C2,B23,C2)</f>
        <v>2700</v>
      </c>
      <c r="F31" s="36">
        <f>IF(B23&lt;C2,0,B23-C2)</f>
        <v>0</v>
      </c>
    </row>
    <row r="32" spans="1:15" ht="13.5" thickBot="1" x14ac:dyDescent="0.25">
      <c r="A32" s="37" t="s">
        <v>21</v>
      </c>
      <c r="B32" s="6">
        <f>$B$31*B30</f>
        <v>17.603999999999999</v>
      </c>
      <c r="C32" s="6">
        <f>C31*C30</f>
        <v>0</v>
      </c>
      <c r="D32" s="6"/>
      <c r="E32" s="6">
        <f>$E$31*E30</f>
        <v>22.896000000000001</v>
      </c>
      <c r="F32" s="38">
        <f>$E$31*F30</f>
        <v>24.299999999999997</v>
      </c>
    </row>
    <row r="33" spans="1:6" ht="13.5" thickBot="1" x14ac:dyDescent="0.25">
      <c r="A33" s="37" t="s">
        <v>26</v>
      </c>
      <c r="B33" s="388">
        <f>SUM(B32:C32)</f>
        <v>17.603999999999999</v>
      </c>
      <c r="C33" s="389"/>
      <c r="D33" s="6"/>
      <c r="E33" s="388">
        <f>SUM(E32:F32)</f>
        <v>47.195999999999998</v>
      </c>
      <c r="F33" s="389"/>
    </row>
    <row r="34" spans="1:6" ht="13.5" thickBot="1" x14ac:dyDescent="0.25">
      <c r="A34" s="39"/>
      <c r="B34" s="40"/>
      <c r="C34" s="40"/>
      <c r="D34" s="48">
        <f>SUM(B33:F33)</f>
        <v>64.8</v>
      </c>
      <c r="E34" s="40"/>
      <c r="F34" s="41"/>
    </row>
    <row r="35" spans="1:6" ht="13.5" thickBot="1" x14ac:dyDescent="0.25">
      <c r="B35" s="1"/>
      <c r="D35" s="30"/>
      <c r="E35" s="1"/>
      <c r="F35" s="1"/>
    </row>
    <row r="36" spans="1:6" x14ac:dyDescent="0.2">
      <c r="A36" s="63" t="s">
        <v>17</v>
      </c>
      <c r="B36" s="42">
        <v>0</v>
      </c>
      <c r="C36" s="43">
        <v>8.5000000000000006E-3</v>
      </c>
      <c r="D36" s="33"/>
      <c r="E36" s="43">
        <v>1.4999999999999999E-2</v>
      </c>
      <c r="F36" s="44">
        <v>8.9999999999999993E-3</v>
      </c>
    </row>
    <row r="37" spans="1:6" x14ac:dyDescent="0.2">
      <c r="A37" s="35" t="s">
        <v>22</v>
      </c>
      <c r="B37" s="31"/>
      <c r="C37" s="1">
        <f>IF(B23&lt;C2,0,B23-C2)</f>
        <v>0</v>
      </c>
      <c r="E37" s="1">
        <f>IF(B23&lt;C2,B23,C2)</f>
        <v>2700</v>
      </c>
      <c r="F37" s="36">
        <f>IF(B23&lt;C2,0,B23-C2)</f>
        <v>0</v>
      </c>
    </row>
    <row r="38" spans="1:6" ht="13.5" thickBot="1" x14ac:dyDescent="0.25">
      <c r="A38" s="37" t="s">
        <v>21</v>
      </c>
      <c r="B38" s="6"/>
      <c r="C38" s="6">
        <f>C37*C36</f>
        <v>0</v>
      </c>
      <c r="D38" s="6"/>
      <c r="E38" s="6">
        <f>E37*E36</f>
        <v>40.5</v>
      </c>
      <c r="F38" s="38">
        <f>F37*F36</f>
        <v>0</v>
      </c>
    </row>
    <row r="39" spans="1:6" ht="13.5" thickBot="1" x14ac:dyDescent="0.25">
      <c r="A39" s="37" t="s">
        <v>26</v>
      </c>
      <c r="B39" s="388">
        <f>SUM(B38:C38)</f>
        <v>0</v>
      </c>
      <c r="C39" s="389"/>
      <c r="E39" s="388">
        <f>SUM(E38:F38)</f>
        <v>40.5</v>
      </c>
      <c r="F39" s="389"/>
    </row>
    <row r="40" spans="1:6" ht="13.5" thickBot="1" x14ac:dyDescent="0.25">
      <c r="A40" s="39"/>
      <c r="B40" s="45"/>
      <c r="C40" s="40"/>
      <c r="D40" s="48">
        <f>SUM(B39:F39)</f>
        <v>40.5</v>
      </c>
      <c r="E40" s="46"/>
      <c r="F40" s="47"/>
    </row>
  </sheetData>
  <mergeCells count="7">
    <mergeCell ref="B39:C39"/>
    <mergeCell ref="E33:F33"/>
    <mergeCell ref="E39:F39"/>
    <mergeCell ref="H17:J17"/>
    <mergeCell ref="B28:C28"/>
    <mergeCell ref="E28:F28"/>
    <mergeCell ref="B33:C33"/>
  </mergeCells>
  <phoneticPr fontId="2" type="noConversion"/>
  <conditionalFormatting sqref="E7 D21">
    <cfRule type="cellIs" dxfId="16" priority="2" stopIfTrue="1" operator="greaterThan">
      <formula>$D$6</formula>
    </cfRule>
  </conditionalFormatting>
  <conditionalFormatting sqref="H3:H7">
    <cfRule type="cellIs" dxfId="15" priority="1" stopIfTrue="1" operator="lessThan">
      <formula>0</formula>
    </cfRule>
  </conditionalFormatting>
  <printOptions horizontalCentered="1"/>
  <pageMargins left="0" right="0" top="0.98425196850393704" bottom="0.98425196850393704" header="0.51181102362204722" footer="0.51181102362204722"/>
  <pageSetup paperSize="9" scale="88" orientation="landscape" r:id="rId1"/>
  <headerFooter alignWithMargins="0">
    <oddFooter>&amp;C&amp;1#&amp;"Arial"&amp;7&amp;K7f7f7fGeneral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"/>
  <sheetViews>
    <sheetView zoomScaleNormal="100" workbookViewId="0">
      <selection activeCell="C35" sqref="C35"/>
    </sheetView>
  </sheetViews>
  <sheetFormatPr baseColWidth="10" defaultColWidth="11.5703125" defaultRowHeight="12.75" x14ac:dyDescent="0.2"/>
  <cols>
    <col min="1" max="1" width="19.85546875" style="283" customWidth="1"/>
    <col min="2" max="2" width="10.5703125" style="284" bestFit="1" customWidth="1"/>
    <col min="3" max="3" width="12.7109375" style="127" customWidth="1"/>
    <col min="4" max="4" width="11.7109375" style="246" customWidth="1"/>
    <col min="5" max="5" width="9.7109375" style="246" customWidth="1"/>
    <col min="6" max="7" width="7.28515625" style="246" customWidth="1"/>
    <col min="8" max="8" width="20.28515625" style="246" customWidth="1"/>
    <col min="9" max="10" width="9.42578125" style="127" customWidth="1"/>
    <col min="11" max="11" width="9.7109375" style="127" customWidth="1"/>
    <col min="12" max="16384" width="11.5703125" style="127"/>
  </cols>
  <sheetData>
    <row r="1" spans="1:5" x14ac:dyDescent="0.2">
      <c r="C1" s="317">
        <v>43101</v>
      </c>
      <c r="D1" s="310"/>
    </row>
    <row r="2" spans="1:5" ht="15.75" x14ac:dyDescent="0.25">
      <c r="A2" s="22" t="s">
        <v>1</v>
      </c>
      <c r="B2" s="286"/>
      <c r="C2" s="3" t="s">
        <v>122</v>
      </c>
      <c r="D2" s="319">
        <v>0</v>
      </c>
    </row>
    <row r="3" spans="1:5" x14ac:dyDescent="0.2">
      <c r="A3" s="127"/>
      <c r="B3" s="49" t="s">
        <v>67</v>
      </c>
      <c r="C3" s="253">
        <v>2.76E-2</v>
      </c>
      <c r="D3" s="303">
        <f>ROUNDDOWN(C3+(C3*$D$2),4)</f>
        <v>2.76E-2</v>
      </c>
      <c r="E3" s="303"/>
    </row>
    <row r="4" spans="1:5" x14ac:dyDescent="0.2">
      <c r="A4" s="127"/>
      <c r="B4" s="49" t="s">
        <v>88</v>
      </c>
      <c r="C4" s="253">
        <v>1.41E-2</v>
      </c>
      <c r="D4" s="303">
        <f t="shared" ref="D4" si="0">ROUNDDOWN(C4+(C4*$D$2),4)</f>
        <v>1.41E-2</v>
      </c>
    </row>
    <row r="5" spans="1:5" x14ac:dyDescent="0.2">
      <c r="A5" s="127"/>
      <c r="B5" s="5"/>
      <c r="C5" s="1"/>
      <c r="D5" s="303"/>
    </row>
    <row r="6" spans="1:5" x14ac:dyDescent="0.2">
      <c r="A6" s="276" t="s">
        <v>63</v>
      </c>
      <c r="B6" s="272" t="s">
        <v>109</v>
      </c>
      <c r="C6" s="272"/>
      <c r="D6" s="303"/>
    </row>
    <row r="7" spans="1:5" x14ac:dyDescent="0.2">
      <c r="A7" s="277"/>
      <c r="B7" s="49" t="s">
        <v>85</v>
      </c>
      <c r="C7" s="253">
        <v>0.5</v>
      </c>
      <c r="D7" s="303"/>
    </row>
    <row r="8" spans="1:5" x14ac:dyDescent="0.2">
      <c r="A8" s="277"/>
      <c r="B8" s="49" t="s">
        <v>86</v>
      </c>
      <c r="C8" s="253">
        <v>3.32E-2</v>
      </c>
      <c r="D8" s="303"/>
    </row>
    <row r="9" spans="1:5" x14ac:dyDescent="0.2">
      <c r="A9" s="277"/>
      <c r="B9" s="49" t="s">
        <v>87</v>
      </c>
      <c r="C9" s="253">
        <f>C7-C8</f>
        <v>0.46679999999999999</v>
      </c>
      <c r="D9" s="303"/>
    </row>
    <row r="10" spans="1:5" x14ac:dyDescent="0.2">
      <c r="A10" s="276" t="s">
        <v>123</v>
      </c>
      <c r="B10" s="272" t="s">
        <v>110</v>
      </c>
      <c r="C10" s="272"/>
      <c r="D10" s="303"/>
    </row>
    <row r="11" spans="1:5" x14ac:dyDescent="0.2">
      <c r="A11" s="127"/>
      <c r="B11" s="49" t="s">
        <v>85</v>
      </c>
      <c r="C11" s="253">
        <v>0.5</v>
      </c>
      <c r="D11" s="303"/>
    </row>
    <row r="12" spans="1:5" x14ac:dyDescent="0.2">
      <c r="A12" s="127"/>
      <c r="B12" s="49" t="s">
        <v>86</v>
      </c>
      <c r="C12" s="253">
        <v>0.2</v>
      </c>
      <c r="D12" s="303"/>
    </row>
    <row r="13" spans="1:5" x14ac:dyDescent="0.2">
      <c r="A13" s="127"/>
      <c r="B13" s="49" t="s">
        <v>87</v>
      </c>
      <c r="C13" s="253">
        <f>C11-C12</f>
        <v>0.3</v>
      </c>
      <c r="D13" s="303"/>
    </row>
    <row r="14" spans="1:5" x14ac:dyDescent="0.2">
      <c r="A14" s="4"/>
      <c r="B14" s="127"/>
      <c r="C14" s="3"/>
      <c r="D14" s="303"/>
    </row>
    <row r="15" spans="1:5" ht="15.75" x14ac:dyDescent="0.25">
      <c r="A15" s="22" t="s">
        <v>6</v>
      </c>
      <c r="B15" s="286"/>
      <c r="C15" s="286"/>
      <c r="D15" s="318">
        <v>0</v>
      </c>
    </row>
    <row r="16" spans="1:5" x14ac:dyDescent="0.2">
      <c r="A16" s="287">
        <v>0</v>
      </c>
      <c r="B16" s="5" t="s">
        <v>7</v>
      </c>
      <c r="C16" s="8">
        <v>4.3319999999999999E-3</v>
      </c>
      <c r="D16" s="303">
        <f>ROUNDDOWN(C16+(C16*$D$15),4)</f>
        <v>4.3E-3</v>
      </c>
    </row>
    <row r="17" spans="1:4" x14ac:dyDescent="0.2">
      <c r="A17" s="208">
        <v>1</v>
      </c>
      <c r="B17" s="49" t="s">
        <v>58</v>
      </c>
      <c r="C17" s="8">
        <f>C16*A17</f>
        <v>4.3319999999999999E-3</v>
      </c>
      <c r="D17" s="303">
        <f t="shared" ref="D17:D21" si="1">ROUNDDOWN(C17+(C17*$D$15),4)</f>
        <v>4.3E-3</v>
      </c>
    </row>
    <row r="18" spans="1:4" x14ac:dyDescent="0.2">
      <c r="A18" s="208">
        <v>0</v>
      </c>
      <c r="B18" s="49" t="s">
        <v>61</v>
      </c>
      <c r="C18" s="8">
        <f>C16*A18</f>
        <v>0</v>
      </c>
      <c r="D18" s="303">
        <f t="shared" si="1"/>
        <v>0</v>
      </c>
    </row>
    <row r="19" spans="1:4" x14ac:dyDescent="0.2">
      <c r="A19" s="287">
        <v>0</v>
      </c>
      <c r="B19" s="5" t="s">
        <v>8</v>
      </c>
      <c r="C19" s="8">
        <v>1.7099999999999999E-3</v>
      </c>
      <c r="D19" s="303">
        <f t="shared" si="1"/>
        <v>1.6999999999999999E-3</v>
      </c>
    </row>
    <row r="20" spans="1:4" x14ac:dyDescent="0.2">
      <c r="A20" s="208">
        <v>1</v>
      </c>
      <c r="B20" s="49" t="s">
        <v>58</v>
      </c>
      <c r="C20" s="8">
        <f>C19*A20</f>
        <v>1.7099999999999999E-3</v>
      </c>
      <c r="D20" s="303">
        <f t="shared" si="1"/>
        <v>1.6999999999999999E-3</v>
      </c>
    </row>
    <row r="21" spans="1:4" x14ac:dyDescent="0.2">
      <c r="A21" s="208">
        <v>0</v>
      </c>
      <c r="B21" s="49" t="s">
        <v>61</v>
      </c>
      <c r="C21" s="8">
        <f>C19*A21</f>
        <v>0</v>
      </c>
      <c r="D21" s="303">
        <f t="shared" si="1"/>
        <v>0</v>
      </c>
    </row>
  </sheetData>
  <printOptions gridLines="1"/>
  <pageMargins left="0.78740157480314965" right="0.78740157480314965" top="0.98425196850393704" bottom="0.98425196850393704" header="0.51181102362204722" footer="0.51181102362204722"/>
  <pageSetup paperSize="9" scale="99" orientation="landscape" horizontalDpi="300" verticalDpi="300" r:id="rId1"/>
  <headerFooter alignWithMargins="0">
    <oddFooter>&amp;C&amp;1#&amp;"Arial"&amp;7&amp;K7f7f7fGeneral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4"/>
  <sheetViews>
    <sheetView topLeftCell="A7" zoomScale="90" zoomScaleNormal="90" workbookViewId="0">
      <selection activeCell="C35" sqref="C35"/>
    </sheetView>
  </sheetViews>
  <sheetFormatPr baseColWidth="10" defaultColWidth="11.42578125" defaultRowHeight="12.75" x14ac:dyDescent="0.2"/>
  <cols>
    <col min="1" max="1" width="2.85546875" style="2" customWidth="1"/>
    <col min="2" max="2" width="20.28515625" style="4" bestFit="1" customWidth="1"/>
    <col min="3" max="3" width="15.7109375" style="3" customWidth="1"/>
    <col min="4" max="4" width="9.85546875" style="3" customWidth="1"/>
    <col min="5" max="5" width="14" style="2" customWidth="1"/>
    <col min="6" max="7" width="11.7109375" style="2" customWidth="1"/>
    <col min="8" max="8" width="3" style="122" customWidth="1"/>
    <col min="9" max="9" width="16.42578125" style="2" bestFit="1" customWidth="1"/>
    <col min="10" max="10" width="16.7109375" style="2" customWidth="1"/>
    <col min="11" max="11" width="6.28515625" style="123" bestFit="1" customWidth="1"/>
    <col min="12" max="12" width="5.7109375" style="123" bestFit="1" customWidth="1"/>
    <col min="13" max="13" width="6.28515625" style="2" bestFit="1" customWidth="1"/>
    <col min="14" max="14" width="16.7109375" style="2" customWidth="1"/>
    <col min="15" max="15" width="4.7109375" style="2" bestFit="1" customWidth="1"/>
    <col min="16" max="16" width="6.28515625" style="2" bestFit="1" customWidth="1"/>
    <col min="17" max="17" width="12.28515625" style="2" bestFit="1" customWidth="1"/>
    <col min="18" max="18" width="1.7109375" style="2" customWidth="1"/>
    <col min="19" max="16384" width="11.42578125" style="2"/>
  </cols>
  <sheetData>
    <row r="1" spans="1:22" ht="13.5" thickBot="1" x14ac:dyDescent="0.25"/>
    <row r="2" spans="1:22" s="102" customFormat="1" ht="28.5" customHeight="1" thickBot="1" x14ac:dyDescent="0.25">
      <c r="A2" s="2"/>
      <c r="B2" s="422" t="s">
        <v>94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4"/>
      <c r="R2" s="2"/>
      <c r="S2" s="2"/>
    </row>
    <row r="3" spans="1:22" ht="5.45" customHeight="1" thickBot="1" x14ac:dyDescent="0.25">
      <c r="H3" s="2"/>
      <c r="K3" s="2"/>
      <c r="L3" s="2"/>
    </row>
    <row r="4" spans="1:22" ht="29.25" customHeight="1" thickBot="1" x14ac:dyDescent="0.25">
      <c r="B4" s="422" t="s">
        <v>12</v>
      </c>
      <c r="C4" s="423"/>
      <c r="D4" s="423"/>
      <c r="E4" s="423"/>
      <c r="F4" s="424"/>
      <c r="G4" s="234"/>
      <c r="H4" s="2"/>
      <c r="I4" s="422" t="s">
        <v>101</v>
      </c>
      <c r="J4" s="423"/>
      <c r="K4" s="423"/>
      <c r="L4" s="423"/>
      <c r="M4" s="423"/>
      <c r="N4" s="423"/>
      <c r="O4" s="423"/>
      <c r="P4" s="423"/>
      <c r="Q4" s="424"/>
      <c r="S4" s="425" t="s">
        <v>107</v>
      </c>
      <c r="T4" s="426"/>
      <c r="U4" s="426"/>
      <c r="V4" s="427"/>
    </row>
    <row r="5" spans="1:22" ht="7.5" customHeight="1" thickBot="1" x14ac:dyDescent="0.25">
      <c r="B5" s="2"/>
      <c r="C5" s="2"/>
      <c r="D5" s="2"/>
      <c r="I5" s="4"/>
      <c r="J5" s="3"/>
      <c r="K5" s="3"/>
      <c r="L5" s="2"/>
      <c r="O5" s="234"/>
      <c r="P5" s="234"/>
      <c r="Q5" s="234"/>
    </row>
    <row r="6" spans="1:22" ht="18.75" customHeight="1" thickBot="1" x14ac:dyDescent="0.3">
      <c r="B6" s="131" t="s">
        <v>0</v>
      </c>
      <c r="C6" s="133">
        <v>3311</v>
      </c>
      <c r="D6" s="132"/>
      <c r="E6" s="127"/>
      <c r="I6" s="22"/>
      <c r="J6" s="229">
        <f>C6</f>
        <v>3311</v>
      </c>
      <c r="N6" s="229">
        <f>C6*4</f>
        <v>13244</v>
      </c>
      <c r="P6"/>
      <c r="Q6" s="229">
        <f>C6*8</f>
        <v>26488</v>
      </c>
      <c r="S6"/>
      <c r="T6" s="233" t="s">
        <v>92</v>
      </c>
      <c r="U6"/>
      <c r="V6" s="233" t="s">
        <v>93</v>
      </c>
    </row>
    <row r="7" spans="1:22" ht="69" customHeight="1" thickBot="1" x14ac:dyDescent="0.25">
      <c r="I7" s="174"/>
      <c r="J7" s="173" t="s">
        <v>80</v>
      </c>
      <c r="N7" s="173" t="s">
        <v>125</v>
      </c>
      <c r="P7"/>
      <c r="Q7" s="173" t="s">
        <v>126</v>
      </c>
      <c r="S7" s="100">
        <v>2001</v>
      </c>
      <c r="T7" s="100">
        <v>2279</v>
      </c>
      <c r="U7" s="100"/>
      <c r="V7" s="100">
        <f>T7*12</f>
        <v>27348</v>
      </c>
    </row>
    <row r="8" spans="1:22" ht="16.5" thickBot="1" x14ac:dyDescent="0.3">
      <c r="B8" s="257" t="s">
        <v>1</v>
      </c>
      <c r="C8" s="259"/>
      <c r="F8" s="262" t="s">
        <v>92</v>
      </c>
      <c r="I8" s="175"/>
      <c r="J8" s="304"/>
      <c r="K8" s="305"/>
      <c r="L8" s="305"/>
      <c r="M8" s="306"/>
      <c r="N8" s="304">
        <v>4190</v>
      </c>
      <c r="O8" s="306"/>
      <c r="P8" s="307"/>
      <c r="Q8" s="304"/>
      <c r="S8" s="100">
        <v>2002</v>
      </c>
      <c r="T8" s="100">
        <v>2352</v>
      </c>
      <c r="U8" s="101">
        <f t="shared" ref="U8:U14" si="0">SUM((T8/T7)-1)</f>
        <v>3.2031592803861253E-2</v>
      </c>
      <c r="V8" s="100">
        <f t="shared" ref="V8:V29" si="1">T8*12</f>
        <v>28224</v>
      </c>
    </row>
    <row r="9" spans="1:22" ht="16.5" customHeight="1" thickBot="1" x14ac:dyDescent="0.25">
      <c r="B9" s="263" t="s">
        <v>67</v>
      </c>
      <c r="C9" s="200">
        <v>2.76E-2</v>
      </c>
      <c r="F9" s="260">
        <f>$C$6*C9</f>
        <v>91.383600000000001</v>
      </c>
      <c r="I9" s="175" t="s">
        <v>83</v>
      </c>
      <c r="J9" s="170">
        <f>IF(J8&gt;J6,"ERREUR",J8)</f>
        <v>0</v>
      </c>
      <c r="N9" s="95">
        <f>IF(N8&gt;N6,"ERREUR",N8-C6)</f>
        <v>879</v>
      </c>
      <c r="P9" s="29"/>
      <c r="Q9" s="95">
        <f>IF(Q8&gt;Q6,"ERREUR",Q8-N6)</f>
        <v>-13244</v>
      </c>
      <c r="S9" s="100">
        <v>2003</v>
      </c>
      <c r="T9" s="100">
        <v>2432</v>
      </c>
      <c r="U9" s="101">
        <f t="shared" si="0"/>
        <v>3.4013605442176909E-2</v>
      </c>
      <c r="V9" s="100">
        <f t="shared" si="1"/>
        <v>29184</v>
      </c>
    </row>
    <row r="10" spans="1:22" ht="13.5" thickBot="1" x14ac:dyDescent="0.25">
      <c r="A10" s="3"/>
      <c r="B10" s="264" t="s">
        <v>88</v>
      </c>
      <c r="C10" s="202">
        <v>1.41E-2</v>
      </c>
      <c r="E10" s="308" t="s">
        <v>108</v>
      </c>
      <c r="F10" s="260">
        <f>IF(E10="oui",$C$6*C10,0)</f>
        <v>46.685099999999998</v>
      </c>
      <c r="I10" s="5"/>
      <c r="J10" s="1"/>
      <c r="K10" s="1"/>
      <c r="L10"/>
      <c r="M10"/>
      <c r="N10"/>
      <c r="O10" s="56"/>
      <c r="P10"/>
      <c r="Q10"/>
      <c r="S10" s="100">
        <v>2004</v>
      </c>
      <c r="T10" s="100">
        <v>2476</v>
      </c>
      <c r="U10" s="101">
        <f t="shared" si="0"/>
        <v>1.8092105263157965E-2</v>
      </c>
      <c r="V10" s="100">
        <f t="shared" si="1"/>
        <v>29712</v>
      </c>
    </row>
    <row r="11" spans="1:22" ht="13.5" thickBot="1" x14ac:dyDescent="0.25">
      <c r="A11" s="127"/>
      <c r="B11" s="5"/>
      <c r="C11" s="1"/>
      <c r="D11" s="1"/>
      <c r="E11"/>
      <c r="F11"/>
      <c r="I11" s="5"/>
      <c r="K11" s="29"/>
      <c r="M11" s="123"/>
      <c r="N11" s="255" t="s">
        <v>18</v>
      </c>
      <c r="O11" s="233"/>
      <c r="P11" s="170"/>
      <c r="Q11" s="256" t="s">
        <v>19</v>
      </c>
      <c r="S11" s="100">
        <v>2005</v>
      </c>
      <c r="T11" s="100">
        <v>2516</v>
      </c>
      <c r="U11" s="101">
        <f t="shared" si="0"/>
        <v>1.6155088852988664E-2</v>
      </c>
      <c r="V11" s="100">
        <f t="shared" si="1"/>
        <v>30192</v>
      </c>
    </row>
    <row r="12" spans="1:22" ht="13.5" thickBot="1" x14ac:dyDescent="0.25">
      <c r="A12" s="127"/>
      <c r="B12" s="270" t="s">
        <v>109</v>
      </c>
      <c r="C12" s="271"/>
      <c r="D12" s="272"/>
      <c r="E12" s="272"/>
      <c r="F12"/>
      <c r="I12" s="275" t="s">
        <v>78</v>
      </c>
      <c r="J12" s="169" t="s">
        <v>74</v>
      </c>
      <c r="K12" s="171">
        <v>1.44E-2</v>
      </c>
      <c r="L12" s="179">
        <v>1</v>
      </c>
      <c r="M12" s="180">
        <f>K12*L12</f>
        <v>1.44E-2</v>
      </c>
      <c r="N12" s="178" t="str">
        <f>IF($J$8="","",M12*$J$9)</f>
        <v/>
      </c>
      <c r="O12" s="254">
        <v>0</v>
      </c>
      <c r="P12" s="180">
        <f>O12*K12</f>
        <v>0</v>
      </c>
      <c r="Q12" s="177" t="str">
        <f>IF($J$8="","",P12*$J$9)</f>
        <v/>
      </c>
      <c r="S12" s="100">
        <v>2006</v>
      </c>
      <c r="T12" s="100">
        <v>2589</v>
      </c>
      <c r="U12" s="101">
        <f t="shared" si="0"/>
        <v>2.9014308426073221E-2</v>
      </c>
      <c r="V12" s="100">
        <f t="shared" si="1"/>
        <v>31068</v>
      </c>
    </row>
    <row r="13" spans="1:22" x14ac:dyDescent="0.2">
      <c r="B13" s="263" t="s">
        <v>85</v>
      </c>
      <c r="C13" s="202">
        <v>0.5</v>
      </c>
      <c r="D13" s="312">
        <f>$C$9*C13</f>
        <v>1.38E-2</v>
      </c>
      <c r="E13" s="265">
        <f>$C$6*D13</f>
        <v>45.691800000000001</v>
      </c>
      <c r="F13" s="235"/>
      <c r="G13" s="236"/>
      <c r="I13" s="232"/>
      <c r="J13" s="169" t="s">
        <v>75</v>
      </c>
      <c r="K13" s="171">
        <v>1.6799999999999999E-2</v>
      </c>
      <c r="L13" s="179">
        <v>0.52</v>
      </c>
      <c r="M13" s="180">
        <f t="shared" ref="M13:M14" si="2">K13*L13</f>
        <v>8.735999999999999E-3</v>
      </c>
      <c r="N13" s="178">
        <f>IF($N$8="","",(M13*$N$9)+($C$6*M12))</f>
        <v>55.357343999999998</v>
      </c>
      <c r="O13" s="254">
        <f>L12-L13</f>
        <v>0.48</v>
      </c>
      <c r="P13" s="180">
        <f t="shared" ref="P13:P14" si="3">O13*K13</f>
        <v>8.064E-3</v>
      </c>
      <c r="Q13" s="177">
        <f>IF($N$8="","",(P13*$N$9)+($C$6*P12))</f>
        <v>7.0882560000000003</v>
      </c>
      <c r="S13" s="100">
        <v>2007</v>
      </c>
      <c r="T13" s="100">
        <v>2682</v>
      </c>
      <c r="U13" s="101">
        <f t="shared" si="0"/>
        <v>3.5921205098493614E-2</v>
      </c>
      <c r="V13" s="100">
        <f t="shared" si="1"/>
        <v>32184</v>
      </c>
    </row>
    <row r="14" spans="1:22" x14ac:dyDescent="0.2">
      <c r="B14" s="264" t="s">
        <v>86</v>
      </c>
      <c r="C14" s="202">
        <v>3.32E-2</v>
      </c>
      <c r="D14" s="312">
        <f>$C$9*C14</f>
        <v>9.1631999999999998E-4</v>
      </c>
      <c r="E14" s="265">
        <f t="shared" ref="E14:E15" si="4">$C$6*D14</f>
        <v>3.03393552</v>
      </c>
      <c r="F14" s="237" t="s">
        <v>92</v>
      </c>
      <c r="G14" s="237" t="s">
        <v>93</v>
      </c>
      <c r="I14" s="232"/>
      <c r="J14" s="169" t="s">
        <v>76</v>
      </c>
      <c r="K14" s="171">
        <v>1.6799999999999999E-2</v>
      </c>
      <c r="L14" s="179">
        <v>0.52</v>
      </c>
      <c r="M14" s="180">
        <f t="shared" si="2"/>
        <v>8.735999999999999E-3</v>
      </c>
      <c r="N14" s="178" t="str">
        <f>IF($Q$8="","",(M14*$Q$9)+(($N$6-$C$6)*M13)+($C$6*M12))</f>
        <v/>
      </c>
      <c r="O14" s="254">
        <f>L12-L14</f>
        <v>0.48</v>
      </c>
      <c r="P14" s="180">
        <f t="shared" si="3"/>
        <v>8.064E-3</v>
      </c>
      <c r="Q14" s="177" t="str">
        <f>IF($Q$8="","",(P14*$Q$9)+(($N$6-$C$6)*P13)+($C$6*P12))</f>
        <v/>
      </c>
      <c r="S14" s="100">
        <v>2008</v>
      </c>
      <c r="T14" s="100">
        <v>2773</v>
      </c>
      <c r="U14" s="101">
        <f t="shared" si="0"/>
        <v>3.392990305741983E-2</v>
      </c>
      <c r="V14" s="100">
        <f t="shared" si="1"/>
        <v>33276</v>
      </c>
    </row>
    <row r="15" spans="1:22" x14ac:dyDescent="0.2">
      <c r="B15" s="264" t="s">
        <v>87</v>
      </c>
      <c r="C15" s="202">
        <f>C13-C14</f>
        <v>0.46679999999999999</v>
      </c>
      <c r="D15" s="312">
        <f>$C$9*C15</f>
        <v>1.288368E-2</v>
      </c>
      <c r="E15" s="265">
        <f t="shared" si="4"/>
        <v>42.657864480000001</v>
      </c>
      <c r="F15" s="421">
        <f>SUM(E15:E16)</f>
        <v>89.342964480000006</v>
      </c>
      <c r="G15" s="421">
        <f>F15*12</f>
        <v>1072.1155737600002</v>
      </c>
      <c r="I15" s="186"/>
      <c r="J15" s="187"/>
      <c r="K15" s="188"/>
      <c r="L15" s="189"/>
      <c r="M15" s="193"/>
      <c r="N15" s="194"/>
      <c r="O15" s="189"/>
      <c r="P15" s="193"/>
      <c r="Q15" s="194"/>
      <c r="S15" s="100">
        <v>2009</v>
      </c>
      <c r="T15" s="100">
        <v>2859</v>
      </c>
      <c r="U15" s="101">
        <f t="shared" ref="U15:U29" si="5">SUM((T15/T14)-1)</f>
        <v>3.101334294987379E-2</v>
      </c>
      <c r="V15" s="100">
        <f t="shared" si="1"/>
        <v>34308</v>
      </c>
    </row>
    <row r="16" spans="1:22" x14ac:dyDescent="0.2">
      <c r="B16" s="223" t="s">
        <v>70</v>
      </c>
      <c r="C16" s="202"/>
      <c r="D16" s="312">
        <f>IF($E$10="oui",0.0141,"")</f>
        <v>1.41E-2</v>
      </c>
      <c r="E16" s="265">
        <f>F10</f>
        <v>46.685099999999998</v>
      </c>
      <c r="F16" s="421"/>
      <c r="G16" s="421"/>
      <c r="I16" s="245"/>
      <c r="J16" s="28"/>
      <c r="K16" s="246"/>
      <c r="L16" s="247"/>
      <c r="M16" s="248"/>
      <c r="N16" s="127"/>
      <c r="O16" s="247"/>
      <c r="P16" s="31"/>
      <c r="Q16" s="127"/>
      <c r="S16" s="100">
        <v>2010</v>
      </c>
      <c r="T16" s="100">
        <v>2885</v>
      </c>
      <c r="U16" s="101">
        <f t="shared" si="5"/>
        <v>9.0940888422526012E-3</v>
      </c>
      <c r="V16" s="100">
        <f t="shared" si="1"/>
        <v>34620</v>
      </c>
    </row>
    <row r="17" spans="2:22" ht="13.5" thickBot="1" x14ac:dyDescent="0.25">
      <c r="B17" s="5"/>
      <c r="C17" s="1"/>
      <c r="D17" s="8"/>
      <c r="E17" s="235"/>
      <c r="F17" s="235"/>
      <c r="G17" s="236"/>
      <c r="S17" s="100">
        <v>2011</v>
      </c>
      <c r="T17" s="100">
        <v>2946</v>
      </c>
      <c r="U17" s="101">
        <f t="shared" si="5"/>
        <v>2.1143847487001821E-2</v>
      </c>
      <c r="V17" s="100">
        <f t="shared" si="1"/>
        <v>35352</v>
      </c>
    </row>
    <row r="18" spans="2:22" ht="13.5" thickBot="1" x14ac:dyDescent="0.25">
      <c r="B18" s="270" t="s">
        <v>110</v>
      </c>
      <c r="C18" s="271"/>
      <c r="D18" s="313"/>
      <c r="E18" s="272"/>
      <c r="F18" s="235"/>
      <c r="G18" s="236"/>
      <c r="I18" s="275" t="s">
        <v>79</v>
      </c>
      <c r="J18" s="169" t="s">
        <v>74</v>
      </c>
      <c r="K18" s="171">
        <v>1.44E-2</v>
      </c>
      <c r="L18" s="179">
        <v>0.85</v>
      </c>
      <c r="M18" s="180">
        <f>K18*L18</f>
        <v>1.2239999999999999E-2</v>
      </c>
      <c r="N18" s="178" t="str">
        <f>IF($J$8="","",M18*$J$9)</f>
        <v/>
      </c>
      <c r="O18" s="254">
        <f>L12-L18</f>
        <v>0.15000000000000002</v>
      </c>
      <c r="P18" s="180">
        <f>O18*K18</f>
        <v>2.1600000000000005E-3</v>
      </c>
      <c r="Q18" s="177" t="str">
        <f>IF($J$8="","",P18*$J$9)</f>
        <v/>
      </c>
      <c r="S18" s="100">
        <v>2012</v>
      </c>
      <c r="T18" s="100">
        <v>3031</v>
      </c>
      <c r="U18" s="101">
        <f t="shared" si="5"/>
        <v>2.8852681602172359E-2</v>
      </c>
      <c r="V18" s="100">
        <f t="shared" si="1"/>
        <v>36372</v>
      </c>
    </row>
    <row r="19" spans="2:22" x14ac:dyDescent="0.2">
      <c r="B19" s="264" t="s">
        <v>85</v>
      </c>
      <c r="C19" s="202">
        <v>0.5</v>
      </c>
      <c r="D19" s="312">
        <f>$C$9*C19</f>
        <v>1.38E-2</v>
      </c>
      <c r="E19" s="265">
        <f>$C$6*D19</f>
        <v>45.691800000000001</v>
      </c>
      <c r="F19" s="235"/>
      <c r="G19" s="236"/>
      <c r="I19" s="232"/>
      <c r="J19" s="169" t="s">
        <v>75</v>
      </c>
      <c r="K19" s="171">
        <v>1.6799999999999999E-2</v>
      </c>
      <c r="L19" s="179">
        <v>0.52</v>
      </c>
      <c r="M19" s="180">
        <f>K19*L19</f>
        <v>8.735999999999999E-3</v>
      </c>
      <c r="N19" s="178">
        <f>IF($N$8="","",(M19*$N$9)+($C$6*M18))</f>
        <v>48.205584000000002</v>
      </c>
      <c r="O19" s="254">
        <f>L12-L19</f>
        <v>0.48</v>
      </c>
      <c r="P19" s="180">
        <f>O19*K19</f>
        <v>8.064E-3</v>
      </c>
      <c r="Q19" s="177">
        <f>IF($N$8="","",(P19*$N$9)+($C$6*P18))</f>
        <v>14.240016000000001</v>
      </c>
      <c r="S19" s="100">
        <v>2013</v>
      </c>
      <c r="T19" s="100">
        <v>3086</v>
      </c>
      <c r="U19" s="101">
        <f t="shared" si="5"/>
        <v>1.8145826459914138E-2</v>
      </c>
      <c r="V19" s="100">
        <f t="shared" si="1"/>
        <v>37032</v>
      </c>
    </row>
    <row r="20" spans="2:22" x14ac:dyDescent="0.2">
      <c r="B20" s="264" t="s">
        <v>86</v>
      </c>
      <c r="C20" s="202">
        <v>0.2</v>
      </c>
      <c r="D20" s="312">
        <f>$C$9*C20</f>
        <v>5.5200000000000006E-3</v>
      </c>
      <c r="E20" s="265">
        <f t="shared" ref="E20" si="6">$C$6*D20</f>
        <v>18.276720000000001</v>
      </c>
      <c r="F20" s="237" t="s">
        <v>92</v>
      </c>
      <c r="G20" s="237" t="s">
        <v>93</v>
      </c>
      <c r="I20" s="50"/>
      <c r="J20" s="169" t="s">
        <v>76</v>
      </c>
      <c r="K20" s="171">
        <v>1.6799999999999999E-2</v>
      </c>
      <c r="L20" s="179">
        <v>0.52</v>
      </c>
      <c r="M20" s="180">
        <f>K20*L20</f>
        <v>8.735999999999999E-3</v>
      </c>
      <c r="N20" s="178" t="str">
        <f>IF($Q$8="","",(M20*$Q$9)+(($N$6-$C$6)*M19)+($C$6*M18))</f>
        <v/>
      </c>
      <c r="O20" s="254">
        <f>L12-L20</f>
        <v>0.48</v>
      </c>
      <c r="P20" s="180">
        <f>O20*K20</f>
        <v>8.064E-3</v>
      </c>
      <c r="Q20" s="177" t="str">
        <f>IF($Q$8="","",(P20*$Q$9)+(($N$6-$C$6)*P19)+($C$6*P18))</f>
        <v/>
      </c>
      <c r="S20" s="100">
        <v>2014</v>
      </c>
      <c r="T20" s="100">
        <v>3129</v>
      </c>
      <c r="U20" s="101">
        <f t="shared" si="5"/>
        <v>1.393389500972142E-2</v>
      </c>
      <c r="V20" s="100">
        <f t="shared" si="1"/>
        <v>37548</v>
      </c>
    </row>
    <row r="21" spans="2:22" x14ac:dyDescent="0.2">
      <c r="B21" s="264" t="s">
        <v>87</v>
      </c>
      <c r="C21" s="202">
        <f>C19-C20</f>
        <v>0.3</v>
      </c>
      <c r="D21" s="312">
        <f>$C$9*C21</f>
        <v>8.2799999999999992E-3</v>
      </c>
      <c r="E21" s="265">
        <f>$C$6*D21</f>
        <v>27.415079999999996</v>
      </c>
      <c r="F21" s="421">
        <f>SUM(E21:E22)</f>
        <v>74.100179999999995</v>
      </c>
      <c r="G21" s="421">
        <f>F21*12</f>
        <v>889.20215999999994</v>
      </c>
      <c r="S21" s="100">
        <v>2015</v>
      </c>
      <c r="T21" s="100">
        <v>3170</v>
      </c>
      <c r="U21" s="101">
        <f t="shared" si="5"/>
        <v>1.3103227868328515E-2</v>
      </c>
      <c r="V21" s="100">
        <f t="shared" si="1"/>
        <v>38040</v>
      </c>
    </row>
    <row r="22" spans="2:22" x14ac:dyDescent="0.2">
      <c r="B22" s="223" t="s">
        <v>70</v>
      </c>
      <c r="C22" s="202" t="str">
        <f>IF($E$6="oui",$C$6,"")</f>
        <v/>
      </c>
      <c r="D22" s="312">
        <f>IF($E$10="oui",0.0141,"")</f>
        <v>1.41E-2</v>
      </c>
      <c r="E22" s="265">
        <f>F10</f>
        <v>46.685099999999998</v>
      </c>
      <c r="F22" s="421"/>
      <c r="G22" s="421"/>
      <c r="S22" s="100">
        <v>2016</v>
      </c>
      <c r="T22" s="100">
        <v>3218</v>
      </c>
      <c r="U22" s="101">
        <f t="shared" si="5"/>
        <v>1.5141955835962229E-2</v>
      </c>
      <c r="V22" s="100">
        <f t="shared" si="1"/>
        <v>38616</v>
      </c>
    </row>
    <row r="23" spans="2:22" ht="13.5" thickBot="1" x14ac:dyDescent="0.25">
      <c r="D23" s="314"/>
      <c r="S23" s="100">
        <v>2017</v>
      </c>
      <c r="T23" s="100">
        <v>3269</v>
      </c>
      <c r="U23" s="241">
        <f t="shared" si="5"/>
        <v>1.5848353014294547E-2</v>
      </c>
      <c r="V23" s="100">
        <f t="shared" si="1"/>
        <v>39228</v>
      </c>
    </row>
    <row r="24" spans="2:22" ht="15.75" thickBot="1" x14ac:dyDescent="0.25">
      <c r="B24" s="257" t="s">
        <v>89</v>
      </c>
      <c r="C24" s="258"/>
      <c r="D24" s="315"/>
      <c r="E24" s="258"/>
      <c r="F24" s="258"/>
      <c r="G24" s="259"/>
      <c r="H24" s="311"/>
      <c r="I24" s="261"/>
      <c r="S24" s="160">
        <v>2018</v>
      </c>
      <c r="T24" s="160">
        <v>3311</v>
      </c>
      <c r="U24" s="242">
        <f t="shared" si="5"/>
        <v>1.2847965738758127E-2</v>
      </c>
      <c r="V24" s="160">
        <f t="shared" si="1"/>
        <v>39732</v>
      </c>
    </row>
    <row r="25" spans="2:22" ht="15" x14ac:dyDescent="0.2">
      <c r="B25" s="266" t="s">
        <v>90</v>
      </c>
      <c r="C25" s="204"/>
      <c r="D25" s="316"/>
      <c r="E25" s="204"/>
      <c r="H25" s="203"/>
      <c r="S25" s="100">
        <v>2019</v>
      </c>
      <c r="T25" s="100"/>
      <c r="U25" s="101">
        <f t="shared" si="5"/>
        <v>-1</v>
      </c>
      <c r="V25" s="100">
        <f t="shared" si="1"/>
        <v>0</v>
      </c>
    </row>
    <row r="26" spans="2:22" x14ac:dyDescent="0.2">
      <c r="B26" s="309">
        <v>2</v>
      </c>
      <c r="C26" s="223" t="s">
        <v>7</v>
      </c>
      <c r="D26" s="267">
        <v>4.3319999999999999E-3</v>
      </c>
      <c r="E26" s="268">
        <f>$C$6*D26</f>
        <v>14.343252</v>
      </c>
      <c r="F26" s="236"/>
      <c r="G26" s="236"/>
      <c r="H26" s="2"/>
      <c r="S26" s="100">
        <v>2020</v>
      </c>
      <c r="T26" s="100"/>
      <c r="U26" s="101" t="e">
        <f t="shared" si="5"/>
        <v>#DIV/0!</v>
      </c>
      <c r="V26" s="100">
        <f t="shared" si="1"/>
        <v>0</v>
      </c>
    </row>
    <row r="27" spans="2:22" x14ac:dyDescent="0.2">
      <c r="B27" s="269">
        <v>1</v>
      </c>
      <c r="C27" s="264" t="s">
        <v>58</v>
      </c>
      <c r="D27" s="267">
        <f>D26*B27</f>
        <v>4.3319999999999999E-3</v>
      </c>
      <c r="E27" s="268">
        <f t="shared" ref="E27:E28" si="7">$C$6*D27</f>
        <v>14.343252</v>
      </c>
      <c r="F27" s="238">
        <f>E27*$B$26</f>
        <v>28.686503999999999</v>
      </c>
      <c r="G27" s="238">
        <f>E27*12*B26</f>
        <v>344.23804799999999</v>
      </c>
      <c r="H27" s="2"/>
      <c r="S27" s="100">
        <v>2021</v>
      </c>
      <c r="T27" s="100"/>
      <c r="U27" s="101" t="e">
        <f t="shared" si="5"/>
        <v>#DIV/0!</v>
      </c>
      <c r="V27" s="100">
        <f t="shared" si="1"/>
        <v>0</v>
      </c>
    </row>
    <row r="28" spans="2:22" x14ac:dyDescent="0.2">
      <c r="B28" s="269">
        <v>0</v>
      </c>
      <c r="C28" s="264" t="s">
        <v>61</v>
      </c>
      <c r="D28" s="267">
        <f>D26*B28</f>
        <v>0</v>
      </c>
      <c r="E28" s="268">
        <f t="shared" si="7"/>
        <v>0</v>
      </c>
      <c r="F28" s="236"/>
      <c r="G28" s="236"/>
      <c r="H28" s="2"/>
      <c r="I28" s="239" t="s">
        <v>124</v>
      </c>
      <c r="S28" s="100">
        <v>2022</v>
      </c>
      <c r="T28" s="100"/>
      <c r="U28" s="101" t="e">
        <f t="shared" si="5"/>
        <v>#DIV/0!</v>
      </c>
      <c r="V28" s="100">
        <f t="shared" si="1"/>
        <v>0</v>
      </c>
    </row>
    <row r="29" spans="2:22" x14ac:dyDescent="0.2">
      <c r="B29" s="169" t="s">
        <v>91</v>
      </c>
      <c r="D29" s="314"/>
      <c r="E29" s="236"/>
      <c r="F29" s="236"/>
      <c r="G29" s="236"/>
      <c r="H29" s="2"/>
      <c r="I29" s="240">
        <f>SUM(F27,F31)</f>
        <v>28.686503999999999</v>
      </c>
      <c r="S29" s="100">
        <v>2023</v>
      </c>
      <c r="T29" s="100"/>
      <c r="U29" s="101" t="e">
        <f t="shared" si="5"/>
        <v>#DIV/0!</v>
      </c>
      <c r="V29" s="100">
        <f t="shared" si="1"/>
        <v>0</v>
      </c>
    </row>
    <row r="30" spans="2:22" x14ac:dyDescent="0.2">
      <c r="B30" s="309">
        <v>0</v>
      </c>
      <c r="C30" s="223" t="s">
        <v>8</v>
      </c>
      <c r="D30" s="267">
        <v>1.7099999999999999E-3</v>
      </c>
      <c r="E30" s="268">
        <f>$C$6*D30</f>
        <v>5.66181</v>
      </c>
      <c r="F30" s="236"/>
      <c r="G30" s="236"/>
      <c r="H30" s="2"/>
    </row>
    <row r="31" spans="2:22" x14ac:dyDescent="0.2">
      <c r="B31" s="269">
        <v>1</v>
      </c>
      <c r="C31" s="264" t="s">
        <v>58</v>
      </c>
      <c r="D31" s="267">
        <f>D30*B31</f>
        <v>1.7099999999999999E-3</v>
      </c>
      <c r="E31" s="326">
        <f>$C$6*D31</f>
        <v>5.66181</v>
      </c>
      <c r="F31" s="238">
        <f>E31*$B$30</f>
        <v>0</v>
      </c>
      <c r="G31" s="238">
        <f>E31*12*B30</f>
        <v>0</v>
      </c>
      <c r="H31" s="2"/>
    </row>
    <row r="32" spans="2:22" x14ac:dyDescent="0.2">
      <c r="B32" s="269">
        <v>0</v>
      </c>
      <c r="C32" s="264" t="s">
        <v>61</v>
      </c>
      <c r="D32" s="267">
        <f>D30*B32</f>
        <v>0</v>
      </c>
      <c r="E32" s="268">
        <f>$C$6*D32</f>
        <v>0</v>
      </c>
      <c r="F32" s="236"/>
      <c r="G32" s="236"/>
      <c r="H32" s="2"/>
    </row>
    <row r="33" spans="1:12" x14ac:dyDescent="0.2">
      <c r="E33" s="236"/>
      <c r="G33" s="239" t="s">
        <v>55</v>
      </c>
      <c r="H33" s="2"/>
    </row>
    <row r="34" spans="1:12" x14ac:dyDescent="0.2">
      <c r="E34" s="236"/>
      <c r="G34" s="240">
        <f>SUM(G27,G31)</f>
        <v>344.23804799999999</v>
      </c>
      <c r="H34" s="2"/>
    </row>
    <row r="35" spans="1:12" x14ac:dyDescent="0.2">
      <c r="H35" s="2"/>
    </row>
    <row r="36" spans="1:12" x14ac:dyDescent="0.2">
      <c r="H36" s="2"/>
    </row>
    <row r="39" spans="1:12" ht="7.15" customHeight="1" x14ac:dyDescent="0.2">
      <c r="K39" s="1"/>
      <c r="L39" s="1"/>
    </row>
    <row r="40" spans="1:12" x14ac:dyDescent="0.2">
      <c r="K40" s="1"/>
      <c r="L40" s="1"/>
    </row>
    <row r="41" spans="1:12" x14ac:dyDescent="0.2">
      <c r="K41" s="1"/>
      <c r="L41"/>
    </row>
    <row r="42" spans="1:12" ht="15.6" customHeight="1" x14ac:dyDescent="0.2">
      <c r="K42"/>
      <c r="L42"/>
    </row>
    <row r="43" spans="1:12" hidden="1" x14ac:dyDescent="0.2">
      <c r="K43"/>
      <c r="L43"/>
    </row>
    <row r="44" spans="1:12" x14ac:dyDescent="0.2">
      <c r="K44"/>
      <c r="L44"/>
    </row>
    <row r="45" spans="1:12" x14ac:dyDescent="0.2">
      <c r="A45"/>
      <c r="L45" s="2"/>
    </row>
    <row r="46" spans="1:12" x14ac:dyDescent="0.2">
      <c r="A46" s="29"/>
      <c r="L46" s="2"/>
    </row>
    <row r="47" spans="1:12" x14ac:dyDescent="0.2">
      <c r="A47" s="29"/>
      <c r="L47" s="2"/>
    </row>
    <row r="48" spans="1:12" x14ac:dyDescent="0.2">
      <c r="A48" s="29"/>
      <c r="L48" s="2"/>
    </row>
    <row r="49" spans="1:12" x14ac:dyDescent="0.2">
      <c r="A49" s="29"/>
      <c r="L49" s="2"/>
    </row>
    <row r="50" spans="1:12" x14ac:dyDescent="0.2">
      <c r="A50"/>
      <c r="L50" s="2"/>
    </row>
    <row r="51" spans="1:12" x14ac:dyDescent="0.2">
      <c r="A51"/>
      <c r="L51" s="2"/>
    </row>
    <row r="52" spans="1:12" x14ac:dyDescent="0.2">
      <c r="A52"/>
      <c r="L52" s="2"/>
    </row>
    <row r="53" spans="1:12" x14ac:dyDescent="0.2">
      <c r="A53"/>
      <c r="L53" s="2"/>
    </row>
    <row r="54" spans="1:12" x14ac:dyDescent="0.2">
      <c r="A54"/>
      <c r="B54" s="50"/>
      <c r="C54" s="50"/>
      <c r="D54"/>
      <c r="E54"/>
      <c r="F54"/>
      <c r="G54"/>
      <c r="H54"/>
      <c r="I54"/>
      <c r="J54" s="6"/>
      <c r="L54" s="2"/>
    </row>
  </sheetData>
  <sheetProtection selectLockedCells="1"/>
  <mergeCells count="8">
    <mergeCell ref="S4:V4"/>
    <mergeCell ref="F15:F16"/>
    <mergeCell ref="G15:G16"/>
    <mergeCell ref="F21:F22"/>
    <mergeCell ref="G21:G22"/>
    <mergeCell ref="B2:Q2"/>
    <mergeCell ref="B4:F4"/>
    <mergeCell ref="I4:Q4"/>
  </mergeCells>
  <conditionalFormatting sqref="E6">
    <cfRule type="cellIs" dxfId="4" priority="1" stopIfTrue="1" operator="greaterThan">
      <formula>#REF!</formula>
    </cfRule>
  </conditionalFormatting>
  <printOptions horizontalCentered="1"/>
  <pageMargins left="0" right="0" top="0.98425196850393704" bottom="0.98425196850393704" header="0.51181102362204722" footer="0.51181102362204722"/>
  <pageSetup paperSize="9" scale="45" orientation="portrait" cellComments="asDisplayed" horizontalDpi="300" verticalDpi="300" r:id="rId1"/>
  <headerFooter alignWithMargins="0">
    <oddFooter>&amp;C&amp;1#&amp;"Arial"&amp;7&amp;K7f7f7fGeneral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1"/>
  <sheetViews>
    <sheetView tabSelected="1" zoomScale="90" zoomScaleNormal="90" workbookViewId="0">
      <selection activeCell="R14" sqref="R14"/>
    </sheetView>
  </sheetViews>
  <sheetFormatPr baseColWidth="10" defaultColWidth="11.42578125" defaultRowHeight="12.75" x14ac:dyDescent="0.2"/>
  <cols>
    <col min="1" max="1" width="20.28515625" style="4" bestFit="1" customWidth="1"/>
    <col min="2" max="2" width="10.5703125" style="3" bestFit="1" customWidth="1"/>
    <col min="3" max="3" width="11" style="3" customWidth="1"/>
    <col min="4" max="5" width="9.140625" style="2" bestFit="1" customWidth="1"/>
    <col min="6" max="6" width="13.85546875" style="122" customWidth="1"/>
    <col min="7" max="7" width="1.7109375" style="2" customWidth="1"/>
    <col min="8" max="14" width="0" style="2" hidden="1" customWidth="1"/>
    <col min="15" max="16384" width="11.42578125" style="2"/>
  </cols>
  <sheetData>
    <row r="1" spans="1:11" s="102" customFormat="1" ht="28.5" customHeight="1" thickBot="1" x14ac:dyDescent="0.25">
      <c r="A1" s="333" t="s">
        <v>147</v>
      </c>
      <c r="B1" s="334"/>
      <c r="C1" s="334"/>
      <c r="D1" s="334"/>
      <c r="E1" s="334"/>
      <c r="F1" s="335"/>
      <c r="G1" s="2"/>
      <c r="H1" s="2"/>
    </row>
    <row r="2" spans="1:11" ht="5.45" customHeight="1" thickBot="1" x14ac:dyDescent="0.25">
      <c r="F2" s="2"/>
    </row>
    <row r="3" spans="1:11" ht="29.25" customHeight="1" thickBot="1" x14ac:dyDescent="0.25">
      <c r="A3" s="333" t="s">
        <v>12</v>
      </c>
      <c r="B3" s="334"/>
      <c r="C3" s="334"/>
      <c r="D3" s="334"/>
      <c r="E3" s="335"/>
      <c r="F3" s="2"/>
      <c r="H3" s="425" t="s">
        <v>107</v>
      </c>
      <c r="I3" s="426"/>
      <c r="J3" s="426"/>
      <c r="K3" s="427"/>
    </row>
    <row r="4" spans="1:11" ht="4.9000000000000004" customHeight="1" thickBot="1" x14ac:dyDescent="0.25">
      <c r="A4" s="2"/>
      <c r="B4" s="2"/>
      <c r="C4" s="2"/>
    </row>
    <row r="5" spans="1:11" ht="18.75" customHeight="1" thickBot="1" x14ac:dyDescent="0.25">
      <c r="A5" s="131" t="s">
        <v>0</v>
      </c>
      <c r="B5" s="133">
        <v>4005</v>
      </c>
      <c r="C5" s="132"/>
      <c r="D5" s="127"/>
      <c r="H5"/>
      <c r="I5" s="233" t="s">
        <v>92</v>
      </c>
      <c r="J5"/>
      <c r="K5" s="233" t="s">
        <v>93</v>
      </c>
    </row>
    <row r="6" spans="1:11" ht="13.5" thickBot="1" x14ac:dyDescent="0.25">
      <c r="H6" s="100">
        <v>2001</v>
      </c>
      <c r="I6" s="100">
        <v>2279</v>
      </c>
      <c r="J6" s="100"/>
      <c r="K6" s="100">
        <f>I6*12</f>
        <v>27348</v>
      </c>
    </row>
    <row r="7" spans="1:11" ht="15.75" thickBot="1" x14ac:dyDescent="0.25">
      <c r="A7" s="257" t="s">
        <v>1</v>
      </c>
      <c r="B7" s="259"/>
      <c r="E7" s="262" t="s">
        <v>92</v>
      </c>
      <c r="H7" s="100">
        <v>2002</v>
      </c>
      <c r="I7" s="100">
        <v>2352</v>
      </c>
      <c r="J7" s="101">
        <f t="shared" ref="J7:J13" si="0">SUM((I7/I6)-1)</f>
        <v>3.2031592803861253E-2</v>
      </c>
      <c r="K7" s="100">
        <f t="shared" ref="K7:K35" si="1">I7*12</f>
        <v>28224</v>
      </c>
    </row>
    <row r="8" spans="1:11" ht="16.5" customHeight="1" thickBot="1" x14ac:dyDescent="0.25">
      <c r="A8" s="263" t="s">
        <v>67</v>
      </c>
      <c r="B8" s="200">
        <v>2.9700000000000001E-2</v>
      </c>
      <c r="E8" s="260">
        <f>ROUND($B$5*B8,2)</f>
        <v>118.95</v>
      </c>
      <c r="H8" s="100">
        <v>2003</v>
      </c>
      <c r="I8" s="100">
        <v>2432</v>
      </c>
      <c r="J8" s="101">
        <f t="shared" si="0"/>
        <v>3.4013605442176909E-2</v>
      </c>
      <c r="K8" s="100">
        <f t="shared" si="1"/>
        <v>29184</v>
      </c>
    </row>
    <row r="9" spans="1:11" ht="13.5" thickBot="1" x14ac:dyDescent="0.25">
      <c r="A9" s="264" t="s">
        <v>88</v>
      </c>
      <c r="B9" s="202">
        <v>1.5699999999999999E-2</v>
      </c>
      <c r="D9" s="308" t="s">
        <v>148</v>
      </c>
      <c r="E9" s="324">
        <f>IF(D9="oui",$B$5*B9,0)</f>
        <v>0</v>
      </c>
      <c r="H9" s="100">
        <v>2004</v>
      </c>
      <c r="I9" s="100">
        <v>2476</v>
      </c>
      <c r="J9" s="101">
        <f t="shared" si="0"/>
        <v>1.8092105263157965E-2</v>
      </c>
      <c r="K9" s="100">
        <f t="shared" si="1"/>
        <v>29712</v>
      </c>
    </row>
    <row r="10" spans="1:11" ht="13.5" thickBot="1" x14ac:dyDescent="0.25">
      <c r="A10" s="5"/>
      <c r="B10" s="1"/>
      <c r="C10" s="1"/>
      <c r="D10"/>
      <c r="E10"/>
      <c r="H10" s="100">
        <v>2005</v>
      </c>
      <c r="I10" s="100">
        <v>2516</v>
      </c>
      <c r="J10" s="101">
        <f t="shared" si="0"/>
        <v>1.6155088852988664E-2</v>
      </c>
      <c r="K10" s="100">
        <f t="shared" si="1"/>
        <v>30192</v>
      </c>
    </row>
    <row r="11" spans="1:11" ht="13.5" thickBot="1" x14ac:dyDescent="0.25">
      <c r="A11" s="270" t="s">
        <v>109</v>
      </c>
      <c r="B11" s="271"/>
      <c r="C11" s="272"/>
      <c r="D11" s="272"/>
      <c r="E11"/>
      <c r="H11" s="100">
        <v>2006</v>
      </c>
      <c r="I11" s="100">
        <v>2589</v>
      </c>
      <c r="J11" s="101">
        <f t="shared" si="0"/>
        <v>2.9014308426073221E-2</v>
      </c>
      <c r="K11" s="100">
        <f t="shared" si="1"/>
        <v>31068</v>
      </c>
    </row>
    <row r="12" spans="1:11" x14ac:dyDescent="0.2">
      <c r="A12" s="263" t="s">
        <v>85</v>
      </c>
      <c r="B12" s="202">
        <v>0.5</v>
      </c>
      <c r="C12" s="201">
        <f t="shared" ref="C12" si="2">ROUND(($B$8*B12),4)</f>
        <v>1.49E-2</v>
      </c>
      <c r="D12" s="265">
        <f>$B$5*C12</f>
        <v>59.674500000000002</v>
      </c>
      <c r="E12" s="235"/>
      <c r="H12" s="100">
        <v>2007</v>
      </c>
      <c r="I12" s="100">
        <v>2682</v>
      </c>
      <c r="J12" s="101">
        <f t="shared" si="0"/>
        <v>3.5921205098493614E-2</v>
      </c>
      <c r="K12" s="100">
        <f t="shared" si="1"/>
        <v>32184</v>
      </c>
    </row>
    <row r="13" spans="1:11" x14ac:dyDescent="0.2">
      <c r="A13" s="264" t="s">
        <v>86</v>
      </c>
      <c r="B13" s="202">
        <v>3.32E-2</v>
      </c>
      <c r="C13" s="201">
        <f>ROUND(($B$8*B13),5)</f>
        <v>9.8999999999999999E-4</v>
      </c>
      <c r="D13" s="265">
        <f>$B$5*C13</f>
        <v>3.96495</v>
      </c>
      <c r="E13" s="235"/>
      <c r="H13" s="100">
        <v>2008</v>
      </c>
      <c r="I13" s="100">
        <v>2773</v>
      </c>
      <c r="J13" s="101">
        <f t="shared" si="0"/>
        <v>3.392990305741983E-2</v>
      </c>
      <c r="K13" s="100">
        <f t="shared" si="1"/>
        <v>33276</v>
      </c>
    </row>
    <row r="14" spans="1:11" x14ac:dyDescent="0.2">
      <c r="A14" s="264" t="s">
        <v>87</v>
      </c>
      <c r="B14" s="202">
        <f>B12-B13</f>
        <v>0.46679999999999999</v>
      </c>
      <c r="C14" s="201">
        <f>ROUND(($B$8*B14),5)</f>
        <v>1.3860000000000001E-2</v>
      </c>
      <c r="D14" s="265">
        <f>$B$5*C14</f>
        <v>55.509300000000003</v>
      </c>
      <c r="E14" s="323">
        <f>D14</f>
        <v>55.509300000000003</v>
      </c>
      <c r="H14" s="100">
        <v>2009</v>
      </c>
      <c r="I14" s="100">
        <v>2859</v>
      </c>
      <c r="J14" s="101">
        <f t="shared" ref="J14:J35" si="3">SUM((I14/I13)-1)</f>
        <v>3.101334294987379E-2</v>
      </c>
      <c r="K14" s="100">
        <f t="shared" si="1"/>
        <v>34308</v>
      </c>
    </row>
    <row r="15" spans="1:11" ht="13.5" thickBot="1" x14ac:dyDescent="0.25">
      <c r="A15" s="5"/>
      <c r="B15" s="1"/>
      <c r="C15" s="31"/>
      <c r="D15" s="321"/>
      <c r="E15" s="235"/>
      <c r="H15" s="100">
        <v>2010</v>
      </c>
      <c r="I15" s="100">
        <v>2885</v>
      </c>
      <c r="J15" s="101">
        <f t="shared" si="3"/>
        <v>9.0940888422526012E-3</v>
      </c>
      <c r="K15" s="100">
        <f t="shared" si="1"/>
        <v>34620</v>
      </c>
    </row>
    <row r="16" spans="1:11" ht="13.5" thickBot="1" x14ac:dyDescent="0.25">
      <c r="A16" s="270" t="s">
        <v>110</v>
      </c>
      <c r="B16" s="271"/>
      <c r="C16" s="325"/>
      <c r="D16" s="322"/>
      <c r="E16" s="235"/>
      <c r="H16" s="100">
        <v>2011</v>
      </c>
      <c r="I16" s="100">
        <v>2946</v>
      </c>
      <c r="J16" s="101">
        <f t="shared" si="3"/>
        <v>2.1143847487001821E-2</v>
      </c>
      <c r="K16" s="100">
        <f t="shared" si="1"/>
        <v>35352</v>
      </c>
    </row>
    <row r="17" spans="1:11" x14ac:dyDescent="0.2">
      <c r="A17" s="264" t="s">
        <v>85</v>
      </c>
      <c r="B17" s="202">
        <v>0.5</v>
      </c>
      <c r="C17" s="201">
        <f t="shared" ref="C17" si="4">ROUND(($B$8*B17),4)</f>
        <v>1.49E-2</v>
      </c>
      <c r="D17" s="265">
        <f>$B$5*C17</f>
        <v>59.674500000000002</v>
      </c>
      <c r="E17" s="235"/>
      <c r="H17" s="100">
        <v>2012</v>
      </c>
      <c r="I17" s="100">
        <v>3031</v>
      </c>
      <c r="J17" s="101">
        <f t="shared" si="3"/>
        <v>2.8852681602172359E-2</v>
      </c>
      <c r="K17" s="100">
        <f t="shared" si="1"/>
        <v>36372</v>
      </c>
    </row>
    <row r="18" spans="1:11" x14ac:dyDescent="0.2">
      <c r="A18" s="264" t="s">
        <v>86</v>
      </c>
      <c r="B18" s="202">
        <v>0.2</v>
      </c>
      <c r="C18" s="201">
        <f>ROUND(($B$8*B18),5)</f>
        <v>5.94E-3</v>
      </c>
      <c r="D18" s="265">
        <f>$B$5*C18</f>
        <v>23.7897</v>
      </c>
      <c r="E18" s="235"/>
      <c r="H18" s="100">
        <v>2013</v>
      </c>
      <c r="I18" s="100">
        <v>3086</v>
      </c>
      <c r="J18" s="101">
        <f t="shared" si="3"/>
        <v>1.8145826459914138E-2</v>
      </c>
      <c r="K18" s="100">
        <f t="shared" si="1"/>
        <v>37032</v>
      </c>
    </row>
    <row r="19" spans="1:11" x14ac:dyDescent="0.2">
      <c r="A19" s="264" t="s">
        <v>87</v>
      </c>
      <c r="B19" s="202">
        <f>B17-B18</f>
        <v>0.3</v>
      </c>
      <c r="C19" s="201">
        <f>ROUND(($B$8*B19),5)</f>
        <v>8.9099999999999995E-3</v>
      </c>
      <c r="D19" s="265">
        <f>$B$5*C19</f>
        <v>35.684550000000002</v>
      </c>
      <c r="E19" s="323">
        <f>SUM(D19)</f>
        <v>35.684550000000002</v>
      </c>
      <c r="H19" s="100">
        <v>2014</v>
      </c>
      <c r="I19" s="100">
        <v>3129</v>
      </c>
      <c r="J19" s="101">
        <f t="shared" si="3"/>
        <v>1.393389500972142E-2</v>
      </c>
      <c r="K19" s="100">
        <f t="shared" si="1"/>
        <v>37548</v>
      </c>
    </row>
    <row r="20" spans="1:11" x14ac:dyDescent="0.2">
      <c r="H20" s="100">
        <v>2015</v>
      </c>
      <c r="I20" s="100">
        <v>3170</v>
      </c>
      <c r="J20" s="101">
        <f t="shared" si="3"/>
        <v>1.3103227868328515E-2</v>
      </c>
      <c r="K20" s="100">
        <f t="shared" si="1"/>
        <v>38040</v>
      </c>
    </row>
    <row r="21" spans="1:11" ht="15" x14ac:dyDescent="0.2">
      <c r="A21" s="336" t="s">
        <v>89</v>
      </c>
      <c r="B21" s="337"/>
      <c r="C21" s="337"/>
      <c r="D21" s="337"/>
      <c r="E21" s="337"/>
      <c r="F21" s="338"/>
      <c r="H21" s="100">
        <v>2016</v>
      </c>
      <c r="I21" s="100">
        <v>3218</v>
      </c>
      <c r="J21" s="101">
        <f t="shared" si="3"/>
        <v>1.5141955835962229E-2</v>
      </c>
      <c r="K21" s="100">
        <f t="shared" si="1"/>
        <v>38616</v>
      </c>
    </row>
    <row r="22" spans="1:11" ht="15" x14ac:dyDescent="0.2">
      <c r="A22" s="266" t="s">
        <v>90</v>
      </c>
      <c r="B22" s="204"/>
      <c r="C22" s="204"/>
      <c r="D22" s="204"/>
      <c r="F22" s="203"/>
      <c r="H22" s="100">
        <v>2017</v>
      </c>
      <c r="I22" s="100">
        <v>3269</v>
      </c>
      <c r="J22" s="241">
        <f t="shared" si="3"/>
        <v>1.5848353014294547E-2</v>
      </c>
      <c r="K22" s="100">
        <f t="shared" si="1"/>
        <v>39228</v>
      </c>
    </row>
    <row r="23" spans="1:11" x14ac:dyDescent="0.2">
      <c r="A23" s="309">
        <v>0</v>
      </c>
      <c r="B23" s="223" t="s">
        <v>7</v>
      </c>
      <c r="C23" s="181">
        <v>5.1999999999999998E-3</v>
      </c>
      <c r="D23" s="268">
        <f>$B$5*C23</f>
        <v>20.826000000000001</v>
      </c>
      <c r="E23" s="236"/>
      <c r="F23" s="2"/>
      <c r="H23" s="100">
        <v>2018</v>
      </c>
      <c r="I23" s="100">
        <v>3311</v>
      </c>
      <c r="J23" s="101">
        <f t="shared" si="3"/>
        <v>1.2847965738758127E-2</v>
      </c>
      <c r="K23" s="100">
        <f t="shared" si="1"/>
        <v>39732</v>
      </c>
    </row>
    <row r="24" spans="1:11" x14ac:dyDescent="0.2">
      <c r="A24" s="269">
        <v>1</v>
      </c>
      <c r="B24" s="264" t="s">
        <v>58</v>
      </c>
      <c r="C24" s="181">
        <f>C23*A24</f>
        <v>5.1999999999999998E-3</v>
      </c>
      <c r="D24" s="268">
        <f>D23</f>
        <v>20.826000000000001</v>
      </c>
      <c r="E24" s="324">
        <f>D24*$A$23</f>
        <v>0</v>
      </c>
      <c r="F24" s="2"/>
      <c r="H24" s="100">
        <v>2019</v>
      </c>
      <c r="I24" s="100">
        <v>3377</v>
      </c>
      <c r="J24" s="101">
        <f t="shared" si="3"/>
        <v>1.9933554817275656E-2</v>
      </c>
      <c r="K24" s="100">
        <f t="shared" si="1"/>
        <v>40524</v>
      </c>
    </row>
    <row r="25" spans="1:11" x14ac:dyDescent="0.2">
      <c r="A25" s="269">
        <v>0</v>
      </c>
      <c r="B25" s="264" t="s">
        <v>61</v>
      </c>
      <c r="C25" s="181">
        <f>C23*A25</f>
        <v>0</v>
      </c>
      <c r="D25" s="268">
        <f>$B$5*C25</f>
        <v>0</v>
      </c>
      <c r="E25" s="236"/>
      <c r="F25" s="2"/>
      <c r="H25" s="100">
        <v>2020</v>
      </c>
      <c r="I25" s="100">
        <v>3428</v>
      </c>
      <c r="J25" s="101">
        <f t="shared" si="3"/>
        <v>1.5102161681966209E-2</v>
      </c>
      <c r="K25" s="100">
        <f t="shared" si="1"/>
        <v>41136</v>
      </c>
    </row>
    <row r="26" spans="1:11" x14ac:dyDescent="0.2">
      <c r="A26" s="169" t="s">
        <v>91</v>
      </c>
      <c r="C26" s="248"/>
      <c r="D26" s="236"/>
      <c r="E26" s="236"/>
      <c r="F26" s="324">
        <f>SUM(E24,E28)</f>
        <v>0</v>
      </c>
      <c r="H26" s="100">
        <v>2021</v>
      </c>
      <c r="I26" s="100">
        <v>3428</v>
      </c>
      <c r="J26" s="101">
        <f t="shared" si="3"/>
        <v>0</v>
      </c>
      <c r="K26" s="100">
        <f t="shared" si="1"/>
        <v>41136</v>
      </c>
    </row>
    <row r="27" spans="1:11" x14ac:dyDescent="0.2">
      <c r="A27" s="309">
        <v>0</v>
      </c>
      <c r="B27" s="223" t="s">
        <v>8</v>
      </c>
      <c r="C27" s="181">
        <v>2.0999999999999999E-3</v>
      </c>
      <c r="D27" s="268">
        <f>$B$5*C27</f>
        <v>8.410499999999999</v>
      </c>
      <c r="E27" s="236"/>
      <c r="F27" s="2"/>
      <c r="H27" s="100">
        <v>2022</v>
      </c>
      <c r="I27" s="100"/>
      <c r="J27" s="101">
        <f t="shared" si="3"/>
        <v>-1</v>
      </c>
      <c r="K27" s="100">
        <f t="shared" si="1"/>
        <v>0</v>
      </c>
    </row>
    <row r="28" spans="1:11" x14ac:dyDescent="0.2">
      <c r="A28" s="269">
        <v>1</v>
      </c>
      <c r="B28" s="264" t="s">
        <v>58</v>
      </c>
      <c r="C28" s="181">
        <f>C27*A28</f>
        <v>2.0999999999999999E-3</v>
      </c>
      <c r="D28" s="268">
        <f>D27</f>
        <v>8.410499999999999</v>
      </c>
      <c r="E28" s="324">
        <f>D28*$A$27</f>
        <v>0</v>
      </c>
      <c r="F28" s="2"/>
      <c r="H28" s="100">
        <v>2023</v>
      </c>
      <c r="I28" s="100"/>
      <c r="J28" s="101" t="e">
        <f t="shared" si="3"/>
        <v>#DIV/0!</v>
      </c>
      <c r="K28" s="100">
        <f t="shared" si="1"/>
        <v>0</v>
      </c>
    </row>
    <row r="29" spans="1:11" x14ac:dyDescent="0.2">
      <c r="A29" s="269">
        <v>0</v>
      </c>
      <c r="B29" s="264" t="s">
        <v>61</v>
      </c>
      <c r="C29" s="181">
        <f>C27*A29</f>
        <v>0</v>
      </c>
      <c r="D29" s="268">
        <f>$B$5*C29</f>
        <v>0</v>
      </c>
      <c r="E29" s="236"/>
      <c r="F29" s="2"/>
      <c r="H29" s="100">
        <v>2024</v>
      </c>
      <c r="I29" s="100"/>
      <c r="J29" s="101" t="e">
        <f t="shared" si="3"/>
        <v>#DIV/0!</v>
      </c>
      <c r="K29" s="100">
        <f t="shared" si="1"/>
        <v>0</v>
      </c>
    </row>
    <row r="30" spans="1:11" x14ac:dyDescent="0.2">
      <c r="D30" s="236"/>
      <c r="F30" s="2"/>
      <c r="H30" s="100">
        <v>2025</v>
      </c>
      <c r="I30" s="100"/>
      <c r="J30" s="101" t="e">
        <f t="shared" si="3"/>
        <v>#DIV/0!</v>
      </c>
      <c r="K30" s="100">
        <f t="shared" si="1"/>
        <v>0</v>
      </c>
    </row>
    <row r="31" spans="1:11" ht="13.5" thickBot="1" x14ac:dyDescent="0.25">
      <c r="D31" s="236"/>
      <c r="F31" s="2"/>
      <c r="H31" s="100">
        <v>2026</v>
      </c>
      <c r="I31" s="100"/>
      <c r="J31" s="101" t="e">
        <f t="shared" si="3"/>
        <v>#DIV/0!</v>
      </c>
      <c r="K31" s="100">
        <f t="shared" si="1"/>
        <v>0</v>
      </c>
    </row>
    <row r="32" spans="1:11" ht="16.5" thickBot="1" x14ac:dyDescent="0.25">
      <c r="B32" s="346"/>
      <c r="C32" s="346"/>
      <c r="D32" s="347"/>
      <c r="E32" s="348" t="s">
        <v>131</v>
      </c>
      <c r="F32" s="349">
        <f>E14</f>
        <v>55.509300000000003</v>
      </c>
      <c r="H32" s="100">
        <v>2027</v>
      </c>
      <c r="I32" s="100"/>
      <c r="J32" s="101" t="e">
        <f t="shared" si="3"/>
        <v>#DIV/0!</v>
      </c>
      <c r="K32" s="100">
        <f t="shared" si="1"/>
        <v>0</v>
      </c>
    </row>
    <row r="33" spans="1:11" ht="16.5" thickBot="1" x14ac:dyDescent="0.25">
      <c r="B33" s="346"/>
      <c r="C33" s="346"/>
      <c r="D33" s="347"/>
      <c r="E33" s="348" t="s">
        <v>130</v>
      </c>
      <c r="F33" s="349">
        <f>E19</f>
        <v>35.684550000000002</v>
      </c>
      <c r="H33" s="100">
        <v>2028</v>
      </c>
      <c r="I33" s="100"/>
      <c r="J33" s="101" t="e">
        <f t="shared" si="3"/>
        <v>#DIV/0!</v>
      </c>
      <c r="K33" s="100">
        <f t="shared" si="1"/>
        <v>0</v>
      </c>
    </row>
    <row r="34" spans="1:11" ht="13.5" thickBot="1" x14ac:dyDescent="0.25">
      <c r="F34" s="2"/>
      <c r="H34" s="100">
        <v>2029</v>
      </c>
      <c r="I34" s="100"/>
      <c r="J34" s="101" t="e">
        <f t="shared" si="3"/>
        <v>#DIV/0!</v>
      </c>
      <c r="K34" s="100">
        <f t="shared" si="1"/>
        <v>0</v>
      </c>
    </row>
    <row r="35" spans="1:11" ht="16.5" thickBot="1" x14ac:dyDescent="0.25">
      <c r="A35" s="351"/>
      <c r="B35" s="339"/>
      <c r="C35" s="340"/>
      <c r="D35" s="341"/>
      <c r="E35" s="342" t="s">
        <v>132</v>
      </c>
      <c r="F35" s="324">
        <f>SUM(E9,E24,E28)</f>
        <v>0</v>
      </c>
      <c r="H35" s="100">
        <v>2030</v>
      </c>
      <c r="I35" s="100"/>
      <c r="J35" s="101" t="e">
        <f t="shared" si="3"/>
        <v>#DIV/0!</v>
      </c>
      <c r="K35" s="100">
        <f t="shared" si="1"/>
        <v>0</v>
      </c>
    </row>
    <row r="38" spans="1:11" ht="7.15" customHeight="1" x14ac:dyDescent="0.2"/>
    <row r="41" spans="1:11" ht="15.6" customHeight="1" x14ac:dyDescent="0.2"/>
    <row r="42" spans="1:11" hidden="1" x14ac:dyDescent="0.2"/>
    <row r="51" spans="1:6" x14ac:dyDescent="0.2">
      <c r="A51" s="50"/>
      <c r="B51" s="50"/>
      <c r="C51"/>
      <c r="D51"/>
      <c r="E51"/>
      <c r="F51"/>
    </row>
  </sheetData>
  <sheetProtection selectLockedCells="1"/>
  <mergeCells count="1">
    <mergeCell ref="H3:K3"/>
  </mergeCells>
  <conditionalFormatting sqref="D5">
    <cfRule type="cellIs" dxfId="3" priority="6" stopIfTrue="1" operator="greaterThan">
      <formula>#REF!</formula>
    </cfRule>
  </conditionalFormatting>
  <printOptions horizontalCentered="1"/>
  <pageMargins left="0" right="0" top="0.59055118110236227" bottom="0.59055118110236227" header="0.51181102362204722" footer="0.51181102362204722"/>
  <pageSetup paperSize="9" scale="87" orientation="landscape" cellComments="asDisplayed" r:id="rId1"/>
  <headerFooter alignWithMargins="0">
    <oddFooter>&amp;C&amp;1#&amp;"Arial"&amp;7&amp;K7f7f7fGeneral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3"/>
  <sheetViews>
    <sheetView zoomScale="90" zoomScaleNormal="90" workbookViewId="0">
      <selection activeCell="M8" sqref="M8"/>
    </sheetView>
  </sheetViews>
  <sheetFormatPr baseColWidth="10" defaultColWidth="11.42578125" defaultRowHeight="12.75" x14ac:dyDescent="0.2"/>
  <cols>
    <col min="1" max="1" width="2.85546875" style="2" customWidth="1"/>
    <col min="2" max="2" width="20.28515625" style="4" bestFit="1" customWidth="1"/>
    <col min="3" max="3" width="10.5703125" style="3" bestFit="1" customWidth="1"/>
    <col min="4" max="4" width="11" style="3" customWidth="1"/>
    <col min="5" max="6" width="9.140625" style="2" bestFit="1" customWidth="1"/>
    <col min="7" max="7" width="3" style="122" customWidth="1"/>
    <col min="8" max="8" width="16.42578125" style="2" bestFit="1" customWidth="1"/>
    <col min="9" max="9" width="16.7109375" style="2" customWidth="1"/>
    <col min="10" max="10" width="9.7109375" style="123" bestFit="1" customWidth="1"/>
    <col min="11" max="11" width="5.7109375" style="123" bestFit="1" customWidth="1"/>
    <col min="12" max="12" width="6.28515625" style="2" bestFit="1" customWidth="1"/>
    <col min="13" max="13" width="16.7109375" style="2" customWidth="1"/>
    <col min="14" max="14" width="5.7109375" style="2" bestFit="1" customWidth="1"/>
    <col min="15" max="15" width="6.28515625" style="2" bestFit="1" customWidth="1"/>
    <col min="16" max="16" width="12.28515625" style="2" bestFit="1" customWidth="1"/>
    <col min="17" max="17" width="6.7109375" style="2" bestFit="1" customWidth="1"/>
    <col min="18" max="18" width="1.7109375" style="2" customWidth="1"/>
    <col min="19" max="16384" width="11.42578125" style="2"/>
  </cols>
  <sheetData>
    <row r="1" spans="1:22" s="102" customFormat="1" ht="28.5" customHeight="1" thickBot="1" x14ac:dyDescent="0.25">
      <c r="A1" s="2"/>
      <c r="B1" s="422" t="s">
        <v>94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4"/>
      <c r="Q1" s="2"/>
      <c r="R1" s="2"/>
      <c r="S1" s="2"/>
    </row>
    <row r="2" spans="1:22" ht="5.45" customHeight="1" thickBot="1" x14ac:dyDescent="0.25">
      <c r="G2" s="2"/>
      <c r="J2" s="2"/>
      <c r="K2" s="2"/>
    </row>
    <row r="3" spans="1:22" ht="29.25" customHeight="1" thickBot="1" x14ac:dyDescent="0.25">
      <c r="B3" s="422" t="s">
        <v>12</v>
      </c>
      <c r="C3" s="423"/>
      <c r="D3" s="423"/>
      <c r="E3" s="423"/>
      <c r="F3" s="424"/>
      <c r="G3" s="2"/>
      <c r="H3" s="422" t="s">
        <v>101</v>
      </c>
      <c r="I3" s="423"/>
      <c r="J3" s="423"/>
      <c r="K3" s="423"/>
      <c r="L3" s="423"/>
      <c r="M3" s="423"/>
      <c r="N3" s="423"/>
      <c r="O3" s="423"/>
      <c r="P3" s="424"/>
      <c r="S3" s="425" t="s">
        <v>107</v>
      </c>
      <c r="T3" s="426"/>
      <c r="U3" s="426"/>
      <c r="V3" s="427"/>
    </row>
    <row r="4" spans="1:22" ht="4.9000000000000004" customHeight="1" thickBot="1" x14ac:dyDescent="0.25">
      <c r="B4" s="2"/>
      <c r="C4" s="2"/>
      <c r="D4" s="2"/>
      <c r="H4" s="4"/>
      <c r="I4" s="3"/>
      <c r="J4" s="3"/>
      <c r="K4" s="2"/>
      <c r="N4" s="234"/>
      <c r="O4" s="234"/>
      <c r="P4" s="234"/>
    </row>
    <row r="5" spans="1:22" ht="18.75" customHeight="1" thickBot="1" x14ac:dyDescent="0.3">
      <c r="B5" s="131" t="s">
        <v>0</v>
      </c>
      <c r="C5" s="133">
        <v>3377</v>
      </c>
      <c r="D5" s="132"/>
      <c r="E5" s="127"/>
      <c r="H5" s="22"/>
      <c r="I5" s="229">
        <f>C5</f>
        <v>3377</v>
      </c>
      <c r="M5" s="229">
        <f>C5*4</f>
        <v>13508</v>
      </c>
      <c r="O5"/>
      <c r="P5" s="229">
        <f>C5*8</f>
        <v>27016</v>
      </c>
      <c r="S5"/>
      <c r="T5" s="233" t="s">
        <v>92</v>
      </c>
      <c r="U5"/>
      <c r="V5" s="233" t="s">
        <v>93</v>
      </c>
    </row>
    <row r="6" spans="1:22" ht="36.75" thickBot="1" x14ac:dyDescent="0.25">
      <c r="H6" s="174"/>
      <c r="I6" s="173" t="s">
        <v>80</v>
      </c>
      <c r="M6" s="173" t="s">
        <v>125</v>
      </c>
      <c r="O6"/>
      <c r="P6" s="173" t="s">
        <v>126</v>
      </c>
      <c r="S6" s="100">
        <v>2001</v>
      </c>
      <c r="T6" s="100">
        <v>2279</v>
      </c>
      <c r="U6" s="100"/>
      <c r="V6" s="100">
        <f>T6*12</f>
        <v>27348</v>
      </c>
    </row>
    <row r="7" spans="1:22" ht="16.5" thickBot="1" x14ac:dyDescent="0.3">
      <c r="B7" s="257" t="s">
        <v>1</v>
      </c>
      <c r="C7" s="259"/>
      <c r="F7" s="262" t="s">
        <v>92</v>
      </c>
      <c r="H7" s="175"/>
      <c r="I7" s="304"/>
      <c r="J7" s="332"/>
      <c r="K7" s="305"/>
      <c r="L7" s="306"/>
      <c r="M7" s="304">
        <v>4190</v>
      </c>
      <c r="N7" s="306"/>
      <c r="O7" s="307"/>
      <c r="P7" s="304"/>
      <c r="S7" s="100">
        <v>2002</v>
      </c>
      <c r="T7" s="100">
        <v>2352</v>
      </c>
      <c r="U7" s="101">
        <f t="shared" ref="U7:U13" si="0">SUM((T7/T6)-1)</f>
        <v>3.2031592803861253E-2</v>
      </c>
      <c r="V7" s="100">
        <f t="shared" ref="V7:V28" si="1">T7*12</f>
        <v>28224</v>
      </c>
    </row>
    <row r="8" spans="1:22" ht="16.5" customHeight="1" thickBot="1" x14ac:dyDescent="0.25">
      <c r="B8" s="263" t="s">
        <v>67</v>
      </c>
      <c r="C8" s="200">
        <v>2.76E-2</v>
      </c>
      <c r="F8" s="260">
        <f>ROUND($C$5*C8,2)</f>
        <v>93.21</v>
      </c>
      <c r="H8" s="175" t="s">
        <v>83</v>
      </c>
      <c r="I8" s="170">
        <f>IF(I7&gt;I5,"ERREUR",I7)</f>
        <v>0</v>
      </c>
      <c r="M8" s="95">
        <f>IF(M7&gt;M5,"ERREUR",M7-C5)</f>
        <v>813</v>
      </c>
      <c r="N8" s="2">
        <f>IF(M7="",0,C5)</f>
        <v>3377</v>
      </c>
      <c r="O8" s="29"/>
      <c r="P8" s="95">
        <f>IF(P7&gt;P5,"ERREUR",P7-M5)</f>
        <v>-13508</v>
      </c>
      <c r="Q8" s="2">
        <f>IF(P7="",0,C5)</f>
        <v>0</v>
      </c>
      <c r="S8" s="100">
        <v>2003</v>
      </c>
      <c r="T8" s="100">
        <v>2432</v>
      </c>
      <c r="U8" s="101">
        <f t="shared" si="0"/>
        <v>3.4013605442176909E-2</v>
      </c>
      <c r="V8" s="100">
        <f t="shared" si="1"/>
        <v>29184</v>
      </c>
    </row>
    <row r="9" spans="1:22" ht="13.5" thickBot="1" x14ac:dyDescent="0.25">
      <c r="A9" s="3"/>
      <c r="B9" s="264" t="s">
        <v>88</v>
      </c>
      <c r="C9" s="202">
        <v>1.41E-2</v>
      </c>
      <c r="E9" s="308" t="s">
        <v>127</v>
      </c>
      <c r="F9" s="324">
        <f>IF(E9="oui",$C$5*C9,0)</f>
        <v>47.615699999999997</v>
      </c>
      <c r="H9" s="5"/>
      <c r="I9" s="1"/>
      <c r="J9" s="1"/>
      <c r="K9"/>
      <c r="L9"/>
      <c r="M9"/>
      <c r="N9" s="56"/>
      <c r="O9"/>
      <c r="P9"/>
      <c r="S9" s="100">
        <v>2004</v>
      </c>
      <c r="T9" s="100">
        <v>2476</v>
      </c>
      <c r="U9" s="101">
        <f t="shared" si="0"/>
        <v>1.8092105263157965E-2</v>
      </c>
      <c r="V9" s="100">
        <f t="shared" si="1"/>
        <v>29712</v>
      </c>
    </row>
    <row r="10" spans="1:22" ht="13.5" thickBot="1" x14ac:dyDescent="0.25">
      <c r="A10" s="127"/>
      <c r="B10" s="5"/>
      <c r="C10" s="1"/>
      <c r="D10" s="1"/>
      <c r="E10"/>
      <c r="F10"/>
      <c r="H10" s="5"/>
      <c r="J10" s="29"/>
      <c r="L10" s="123"/>
      <c r="M10" s="255" t="s">
        <v>18</v>
      </c>
      <c r="N10" s="233"/>
      <c r="O10" s="170"/>
      <c r="P10" s="256" t="s">
        <v>19</v>
      </c>
      <c r="S10" s="100">
        <v>2005</v>
      </c>
      <c r="T10" s="100">
        <v>2516</v>
      </c>
      <c r="U10" s="101">
        <f t="shared" si="0"/>
        <v>1.6155088852988664E-2</v>
      </c>
      <c r="V10" s="100">
        <f t="shared" si="1"/>
        <v>30192</v>
      </c>
    </row>
    <row r="11" spans="1:22" ht="13.5" thickBot="1" x14ac:dyDescent="0.25">
      <c r="A11" s="127"/>
      <c r="B11" s="270" t="s">
        <v>109</v>
      </c>
      <c r="C11" s="271"/>
      <c r="D11" s="272"/>
      <c r="E11" s="272"/>
      <c r="F11"/>
      <c r="H11" s="275" t="s">
        <v>78</v>
      </c>
      <c r="I11" s="169" t="s">
        <v>74</v>
      </c>
      <c r="J11" s="171">
        <v>1.44E-2</v>
      </c>
      <c r="K11" s="179">
        <v>1</v>
      </c>
      <c r="L11" s="180">
        <f>J11*K11</f>
        <v>1.44E-2</v>
      </c>
      <c r="M11" s="178" t="str">
        <f>IF($I$7="","",(C5*L11)+(L12*N8)+(Q8*L13))</f>
        <v/>
      </c>
      <c r="N11" s="254">
        <v>0</v>
      </c>
      <c r="O11" s="180">
        <f>N11*J11</f>
        <v>0</v>
      </c>
      <c r="P11" s="177" t="str">
        <f>IF($I$7="","",O11*$I$8)</f>
        <v/>
      </c>
      <c r="S11" s="100">
        <v>2006</v>
      </c>
      <c r="T11" s="100">
        <v>2589</v>
      </c>
      <c r="U11" s="101">
        <f t="shared" si="0"/>
        <v>2.9014308426073221E-2</v>
      </c>
      <c r="V11" s="100">
        <f t="shared" si="1"/>
        <v>31068</v>
      </c>
    </row>
    <row r="12" spans="1:22" x14ac:dyDescent="0.2">
      <c r="B12" s="263" t="s">
        <v>85</v>
      </c>
      <c r="C12" s="202">
        <v>0.5</v>
      </c>
      <c r="D12" s="201">
        <f>$C$8*C12</f>
        <v>1.38E-2</v>
      </c>
      <c r="E12" s="265">
        <f>$C$5*D12</f>
        <v>46.602600000000002</v>
      </c>
      <c r="F12" s="235"/>
      <c r="H12" s="232"/>
      <c r="I12" s="169" t="s">
        <v>75</v>
      </c>
      <c r="J12" s="171">
        <v>1.6799999999999999E-2</v>
      </c>
      <c r="K12" s="179">
        <v>0.52</v>
      </c>
      <c r="L12" s="180">
        <f t="shared" ref="L12:L13" si="2">J12*K12</f>
        <v>8.735999999999999E-3</v>
      </c>
      <c r="M12" s="178">
        <f>IF($M$7="","",M8*L12)</f>
        <v>7.1023679999999993</v>
      </c>
      <c r="N12" s="254">
        <f>K11-K12</f>
        <v>0.48</v>
      </c>
      <c r="O12" s="180">
        <f t="shared" ref="O12:O13" si="3">N12*J12</f>
        <v>8.064E-3</v>
      </c>
      <c r="P12" s="177">
        <f>IF($M$7="","",M8*O12)</f>
        <v>6.5560320000000001</v>
      </c>
      <c r="S12" s="100">
        <v>2007</v>
      </c>
      <c r="T12" s="100">
        <v>2682</v>
      </c>
      <c r="U12" s="101">
        <f t="shared" si="0"/>
        <v>3.5921205098493614E-2</v>
      </c>
      <c r="V12" s="100">
        <f t="shared" si="1"/>
        <v>32184</v>
      </c>
    </row>
    <row r="13" spans="1:22" x14ac:dyDescent="0.2">
      <c r="B13" s="264" t="s">
        <v>86</v>
      </c>
      <c r="C13" s="202">
        <v>3.32E-2</v>
      </c>
      <c r="D13" s="201">
        <f>$C$8*C13</f>
        <v>9.1631999999999998E-4</v>
      </c>
      <c r="E13" s="265">
        <f>$C$5*D13</f>
        <v>3.0944126399999998</v>
      </c>
      <c r="F13" s="235"/>
      <c r="H13" s="232"/>
      <c r="I13" s="169" t="s">
        <v>76</v>
      </c>
      <c r="J13" s="171">
        <v>1.6799999999999999E-2</v>
      </c>
      <c r="K13" s="179">
        <v>0.52</v>
      </c>
      <c r="L13" s="180">
        <f t="shared" si="2"/>
        <v>8.735999999999999E-3</v>
      </c>
      <c r="M13" s="178" t="str">
        <f>IF($P$7="","",P8*L13)</f>
        <v/>
      </c>
      <c r="N13" s="254">
        <f>K11-K13</f>
        <v>0.48</v>
      </c>
      <c r="O13" s="180">
        <f t="shared" si="3"/>
        <v>8.064E-3</v>
      </c>
      <c r="P13" s="177" t="str">
        <f>IF($P$7="","",(O13*$P$8)+(($M$5-$C$5)*O12)+($C$5*O11))</f>
        <v/>
      </c>
      <c r="S13" s="100">
        <v>2008</v>
      </c>
      <c r="T13" s="100">
        <v>2773</v>
      </c>
      <c r="U13" s="101">
        <f t="shared" si="0"/>
        <v>3.392990305741983E-2</v>
      </c>
      <c r="V13" s="100">
        <f t="shared" si="1"/>
        <v>33276</v>
      </c>
    </row>
    <row r="14" spans="1:22" x14ac:dyDescent="0.2">
      <c r="B14" s="264" t="s">
        <v>87</v>
      </c>
      <c r="C14" s="202">
        <f>C12-C13</f>
        <v>0.46679999999999999</v>
      </c>
      <c r="D14" s="201">
        <f>$C$8*C14</f>
        <v>1.288368E-2</v>
      </c>
      <c r="E14" s="265">
        <f>$C$5*D14</f>
        <v>43.508187360000001</v>
      </c>
      <c r="F14" s="323">
        <f>E14</f>
        <v>43.508187360000001</v>
      </c>
      <c r="H14" s="186"/>
      <c r="I14" s="187"/>
      <c r="J14" s="188"/>
      <c r="K14" s="189"/>
      <c r="L14" s="193" t="s">
        <v>129</v>
      </c>
      <c r="M14" s="194"/>
      <c r="N14" s="189"/>
      <c r="O14" s="193"/>
      <c r="P14" s="194"/>
      <c r="S14" s="100">
        <v>2009</v>
      </c>
      <c r="T14" s="100">
        <v>2859</v>
      </c>
      <c r="U14" s="101">
        <f t="shared" ref="U14:U28" si="4">SUM((T14/T13)-1)</f>
        <v>3.101334294987379E-2</v>
      </c>
      <c r="V14" s="100">
        <f t="shared" si="1"/>
        <v>34308</v>
      </c>
    </row>
    <row r="15" spans="1:22" ht="13.5" thickBot="1" x14ac:dyDescent="0.25">
      <c r="B15" s="5"/>
      <c r="C15" s="1"/>
      <c r="D15" s="31"/>
      <c r="E15" s="321"/>
      <c r="F15" s="235"/>
      <c r="S15" s="100">
        <v>2010</v>
      </c>
      <c r="T15" s="100">
        <v>2885</v>
      </c>
      <c r="U15" s="101">
        <f t="shared" si="4"/>
        <v>9.0940888422526012E-3</v>
      </c>
      <c r="V15" s="100">
        <f t="shared" si="1"/>
        <v>34620</v>
      </c>
    </row>
    <row r="16" spans="1:22" ht="13.5" thickBot="1" x14ac:dyDescent="0.25">
      <c r="B16" s="270" t="s">
        <v>110</v>
      </c>
      <c r="C16" s="271"/>
      <c r="D16" s="325"/>
      <c r="E16" s="322"/>
      <c r="F16" s="235"/>
      <c r="H16" s="275" t="s">
        <v>79</v>
      </c>
      <c r="I16" s="169" t="s">
        <v>74</v>
      </c>
      <c r="J16" s="171">
        <v>1.44E-2</v>
      </c>
      <c r="K16" s="179">
        <v>0.85</v>
      </c>
      <c r="L16" s="180">
        <f>J16*K16</f>
        <v>1.2239999999999999E-2</v>
      </c>
      <c r="M16" s="178" t="str">
        <f>IF($I$7="","",L16*$I$8)</f>
        <v/>
      </c>
      <c r="N16" s="254">
        <f>K11-K16</f>
        <v>0.15000000000000002</v>
      </c>
      <c r="O16" s="180">
        <f>N16*J16</f>
        <v>2.1600000000000005E-3</v>
      </c>
      <c r="P16" s="177" t="str">
        <f>IF($I$7="","",O16*$I$8)</f>
        <v/>
      </c>
      <c r="S16" s="100">
        <v>2011</v>
      </c>
      <c r="T16" s="100">
        <v>2946</v>
      </c>
      <c r="U16" s="101">
        <f t="shared" si="4"/>
        <v>2.1143847487001821E-2</v>
      </c>
      <c r="V16" s="100">
        <f t="shared" si="1"/>
        <v>35352</v>
      </c>
    </row>
    <row r="17" spans="2:22" x14ac:dyDescent="0.2">
      <c r="B17" s="264" t="s">
        <v>85</v>
      </c>
      <c r="C17" s="202">
        <v>0.5</v>
      </c>
      <c r="D17" s="201">
        <f>$C$8*C17</f>
        <v>1.38E-2</v>
      </c>
      <c r="E17" s="265">
        <f>$C$5*D17</f>
        <v>46.602600000000002</v>
      </c>
      <c r="F17" s="235"/>
      <c r="H17" s="232"/>
      <c r="I17" s="169" t="s">
        <v>75</v>
      </c>
      <c r="J17" s="171">
        <v>1.6799999999999999E-2</v>
      </c>
      <c r="K17" s="179">
        <v>0.52</v>
      </c>
      <c r="L17" s="180">
        <f>J17*K17</f>
        <v>8.735999999999999E-3</v>
      </c>
      <c r="M17" s="178">
        <f>IF($M$7="","",(L17*$M$8)+($C$5*L16))</f>
        <v>48.436847999999998</v>
      </c>
      <c r="N17" s="254">
        <f>K11-K17</f>
        <v>0.48</v>
      </c>
      <c r="O17" s="180">
        <f>N17*J17</f>
        <v>8.064E-3</v>
      </c>
      <c r="P17" s="177">
        <f>IF($M$7="","",(O17*$M$8)+($C$5*O16))</f>
        <v>13.850352000000001</v>
      </c>
      <c r="S17" s="100">
        <v>2012</v>
      </c>
      <c r="T17" s="100">
        <v>3031</v>
      </c>
      <c r="U17" s="101">
        <f t="shared" si="4"/>
        <v>2.8852681602172359E-2</v>
      </c>
      <c r="V17" s="100">
        <f t="shared" si="1"/>
        <v>36372</v>
      </c>
    </row>
    <row r="18" spans="2:22" x14ac:dyDescent="0.2">
      <c r="B18" s="264" t="s">
        <v>86</v>
      </c>
      <c r="C18" s="202">
        <v>0.2</v>
      </c>
      <c r="D18" s="201">
        <f>$C$8*C18</f>
        <v>5.5200000000000006E-3</v>
      </c>
      <c r="E18" s="265">
        <f>$C$5*D18</f>
        <v>18.64104</v>
      </c>
      <c r="F18" s="235"/>
      <c r="H18" s="50"/>
      <c r="I18" s="169" t="s">
        <v>76</v>
      </c>
      <c r="J18" s="171">
        <v>1.6799999999999999E-2</v>
      </c>
      <c r="K18" s="179">
        <v>0.52</v>
      </c>
      <c r="L18" s="180">
        <f>J18*K18</f>
        <v>8.735999999999999E-3</v>
      </c>
      <c r="M18" s="178" t="str">
        <f>IF($P$7="","",(L18*$P$8)+(($M$5-$C$5)*L17)+($C$5*L16))</f>
        <v/>
      </c>
      <c r="N18" s="254">
        <f>K11-K18</f>
        <v>0.48</v>
      </c>
      <c r="O18" s="180">
        <f>N18*J18</f>
        <v>8.064E-3</v>
      </c>
      <c r="P18" s="177" t="str">
        <f>IF($P$7="","",(O18*$P$8)+(($M$5-$C$5)*O17)+($C$5*O16))</f>
        <v/>
      </c>
      <c r="S18" s="100">
        <v>2013</v>
      </c>
      <c r="T18" s="100">
        <v>3086</v>
      </c>
      <c r="U18" s="101">
        <f t="shared" si="4"/>
        <v>1.8145826459914138E-2</v>
      </c>
      <c r="V18" s="100">
        <f t="shared" si="1"/>
        <v>37032</v>
      </c>
    </row>
    <row r="19" spans="2:22" x14ac:dyDescent="0.2">
      <c r="B19" s="264" t="s">
        <v>87</v>
      </c>
      <c r="C19" s="202">
        <f>C17-C18</f>
        <v>0.3</v>
      </c>
      <c r="D19" s="201">
        <f>$C$8*C19</f>
        <v>8.2799999999999992E-3</v>
      </c>
      <c r="E19" s="265">
        <f>$C$5*D19</f>
        <v>27.961559999999999</v>
      </c>
      <c r="F19" s="323">
        <f>SUM(E19)</f>
        <v>27.961559999999999</v>
      </c>
      <c r="S19" s="100">
        <v>2014</v>
      </c>
      <c r="T19" s="100">
        <v>3129</v>
      </c>
      <c r="U19" s="101">
        <f t="shared" si="4"/>
        <v>1.393389500972142E-2</v>
      </c>
      <c r="V19" s="100">
        <f t="shared" si="1"/>
        <v>37548</v>
      </c>
    </row>
    <row r="20" spans="2:22" ht="13.5" thickBot="1" x14ac:dyDescent="0.25">
      <c r="M20" s="320"/>
      <c r="S20" s="100">
        <v>2015</v>
      </c>
      <c r="T20" s="100">
        <v>3170</v>
      </c>
      <c r="U20" s="101">
        <f t="shared" si="4"/>
        <v>1.3103227868328515E-2</v>
      </c>
      <c r="V20" s="100">
        <f t="shared" si="1"/>
        <v>38040</v>
      </c>
    </row>
    <row r="21" spans="2:22" ht="15.75" thickBot="1" x14ac:dyDescent="0.25">
      <c r="B21" s="257" t="s">
        <v>89</v>
      </c>
      <c r="C21" s="258"/>
      <c r="D21" s="258"/>
      <c r="E21" s="258"/>
      <c r="F21" s="258"/>
      <c r="G21" s="311"/>
      <c r="H21" s="261"/>
      <c r="S21" s="100">
        <v>2016</v>
      </c>
      <c r="T21" s="100">
        <v>3218</v>
      </c>
      <c r="U21" s="101">
        <f t="shared" si="4"/>
        <v>1.5141955835962229E-2</v>
      </c>
      <c r="V21" s="100">
        <f t="shared" si="1"/>
        <v>38616</v>
      </c>
    </row>
    <row r="22" spans="2:22" ht="15" x14ac:dyDescent="0.2">
      <c r="B22" s="266" t="s">
        <v>90</v>
      </c>
      <c r="C22" s="204"/>
      <c r="D22" s="204"/>
      <c r="E22" s="204"/>
      <c r="G22" s="203"/>
      <c r="S22" s="100">
        <v>2017</v>
      </c>
      <c r="T22" s="100">
        <v>3269</v>
      </c>
      <c r="U22" s="241">
        <f t="shared" si="4"/>
        <v>1.5848353014294547E-2</v>
      </c>
      <c r="V22" s="100">
        <f t="shared" si="1"/>
        <v>39228</v>
      </c>
    </row>
    <row r="23" spans="2:22" x14ac:dyDescent="0.2">
      <c r="B23" s="309">
        <v>2</v>
      </c>
      <c r="C23" s="223" t="s">
        <v>7</v>
      </c>
      <c r="D23" s="181">
        <v>4.3E-3</v>
      </c>
      <c r="E23" s="268">
        <f>ROUND($C$5*D23,3)</f>
        <v>14.521000000000001</v>
      </c>
      <c r="F23" s="236"/>
      <c r="G23" s="2"/>
      <c r="S23" s="100">
        <v>2018</v>
      </c>
      <c r="T23" s="100">
        <v>3311</v>
      </c>
      <c r="U23" s="101">
        <f t="shared" si="4"/>
        <v>1.2847965738758127E-2</v>
      </c>
      <c r="V23" s="100">
        <f t="shared" si="1"/>
        <v>39732</v>
      </c>
    </row>
    <row r="24" spans="2:22" x14ac:dyDescent="0.2">
      <c r="B24" s="269">
        <v>1</v>
      </c>
      <c r="C24" s="264" t="s">
        <v>58</v>
      </c>
      <c r="D24" s="181">
        <f>D23*B24</f>
        <v>4.3E-3</v>
      </c>
      <c r="E24" s="268">
        <f>E23</f>
        <v>14.521000000000001</v>
      </c>
      <c r="F24" s="238">
        <f>E24*$B$23</f>
        <v>29.042000000000002</v>
      </c>
      <c r="G24" s="2"/>
      <c r="S24" s="160">
        <v>2019</v>
      </c>
      <c r="T24" s="160">
        <v>3377</v>
      </c>
      <c r="U24" s="242">
        <f t="shared" si="4"/>
        <v>1.9933554817275656E-2</v>
      </c>
      <c r="V24" s="160">
        <f t="shared" si="1"/>
        <v>40524</v>
      </c>
    </row>
    <row r="25" spans="2:22" x14ac:dyDescent="0.2">
      <c r="B25" s="269">
        <v>0</v>
      </c>
      <c r="C25" s="264" t="s">
        <v>61</v>
      </c>
      <c r="D25" s="181">
        <f>D23*B25</f>
        <v>0</v>
      </c>
      <c r="E25" s="268">
        <f>$C$5*D25</f>
        <v>0</v>
      </c>
      <c r="F25" s="236"/>
      <c r="G25" s="2"/>
      <c r="H25" s="428" t="s">
        <v>128</v>
      </c>
      <c r="I25" s="429"/>
      <c r="S25" s="100">
        <v>2020</v>
      </c>
      <c r="T25" s="100"/>
      <c r="U25" s="101">
        <f t="shared" si="4"/>
        <v>-1</v>
      </c>
      <c r="V25" s="100">
        <f t="shared" si="1"/>
        <v>0</v>
      </c>
    </row>
    <row r="26" spans="2:22" x14ac:dyDescent="0.2">
      <c r="B26" s="169" t="s">
        <v>91</v>
      </c>
      <c r="D26" s="248"/>
      <c r="E26" s="236"/>
      <c r="F26" s="236"/>
      <c r="G26" s="2"/>
      <c r="H26" s="428">
        <f>SUM(F24,F28,F9)</f>
        <v>76.657700000000006</v>
      </c>
      <c r="I26" s="429"/>
      <c r="S26" s="100">
        <v>2021</v>
      </c>
      <c r="T26" s="100"/>
      <c r="U26" s="101" t="e">
        <f t="shared" si="4"/>
        <v>#DIV/0!</v>
      </c>
      <c r="V26" s="100">
        <f t="shared" si="1"/>
        <v>0</v>
      </c>
    </row>
    <row r="27" spans="2:22" x14ac:dyDescent="0.2">
      <c r="B27" s="309">
        <v>0</v>
      </c>
      <c r="C27" s="223" t="s">
        <v>8</v>
      </c>
      <c r="D27" s="181">
        <v>1.6999999999999999E-3</v>
      </c>
      <c r="E27" s="268">
        <f>ROUND($C$5*D27,3)</f>
        <v>5.7409999999999997</v>
      </c>
      <c r="F27" s="236"/>
      <c r="G27" s="2"/>
      <c r="S27" s="100">
        <v>2022</v>
      </c>
      <c r="T27" s="100"/>
      <c r="U27" s="101" t="e">
        <f t="shared" si="4"/>
        <v>#DIV/0!</v>
      </c>
      <c r="V27" s="100">
        <f t="shared" si="1"/>
        <v>0</v>
      </c>
    </row>
    <row r="28" spans="2:22" x14ac:dyDescent="0.2">
      <c r="B28" s="269">
        <v>1</v>
      </c>
      <c r="C28" s="264" t="s">
        <v>58</v>
      </c>
      <c r="D28" s="181">
        <f>D27*B28</f>
        <v>1.6999999999999999E-3</v>
      </c>
      <c r="E28" s="268">
        <f>E27</f>
        <v>5.7409999999999997</v>
      </c>
      <c r="F28" s="238">
        <f>E28*$B$27</f>
        <v>0</v>
      </c>
      <c r="G28" s="2"/>
      <c r="S28" s="100">
        <v>2023</v>
      </c>
      <c r="T28" s="100"/>
      <c r="U28" s="101" t="e">
        <f t="shared" si="4"/>
        <v>#DIV/0!</v>
      </c>
      <c r="V28" s="100">
        <f t="shared" si="1"/>
        <v>0</v>
      </c>
    </row>
    <row r="29" spans="2:22" x14ac:dyDescent="0.2">
      <c r="B29" s="269">
        <v>0</v>
      </c>
      <c r="C29" s="264" t="s">
        <v>61</v>
      </c>
      <c r="D29" s="181">
        <f>D27*B29</f>
        <v>0</v>
      </c>
      <c r="E29" s="268">
        <f>$C$5*D29</f>
        <v>0</v>
      </c>
      <c r="F29" s="236"/>
      <c r="G29" s="2"/>
    </row>
    <row r="30" spans="2:22" x14ac:dyDescent="0.2">
      <c r="E30" s="236"/>
      <c r="G30" s="2"/>
    </row>
    <row r="31" spans="2:22" x14ac:dyDescent="0.2">
      <c r="E31" s="236"/>
      <c r="G31" s="2"/>
    </row>
    <row r="32" spans="2:22" x14ac:dyDescent="0.2">
      <c r="G32" s="2"/>
    </row>
    <row r="33" spans="1:11" x14ac:dyDescent="0.2">
      <c r="G33" s="2"/>
    </row>
    <row r="36" spans="1:11" x14ac:dyDescent="0.2">
      <c r="J36" s="1"/>
      <c r="K36" s="1"/>
    </row>
    <row r="37" spans="1:11" x14ac:dyDescent="0.2">
      <c r="J37" s="1"/>
      <c r="K37" s="1"/>
    </row>
    <row r="38" spans="1:11" ht="7.15" customHeight="1" x14ac:dyDescent="0.2">
      <c r="J38" s="1"/>
      <c r="K38"/>
    </row>
    <row r="39" spans="1:11" x14ac:dyDescent="0.2">
      <c r="J39"/>
      <c r="K39"/>
    </row>
    <row r="40" spans="1:11" x14ac:dyDescent="0.2">
      <c r="J40"/>
      <c r="K40"/>
    </row>
    <row r="41" spans="1:11" ht="15.6" customHeight="1" x14ac:dyDescent="0.2">
      <c r="J41"/>
      <c r="K41"/>
    </row>
    <row r="42" spans="1:11" hidden="1" x14ac:dyDescent="0.2">
      <c r="K42" s="2"/>
    </row>
    <row r="43" spans="1:11" x14ac:dyDescent="0.2">
      <c r="K43" s="2"/>
    </row>
    <row r="44" spans="1:11" x14ac:dyDescent="0.2">
      <c r="A44"/>
      <c r="K44" s="2"/>
    </row>
    <row r="45" spans="1:11" x14ac:dyDescent="0.2">
      <c r="A45" s="29"/>
      <c r="K45" s="2"/>
    </row>
    <row r="46" spans="1:11" x14ac:dyDescent="0.2">
      <c r="A46" s="29"/>
      <c r="K46" s="2"/>
    </row>
    <row r="47" spans="1:11" x14ac:dyDescent="0.2">
      <c r="A47" s="29"/>
      <c r="K47" s="2"/>
    </row>
    <row r="48" spans="1:11" x14ac:dyDescent="0.2">
      <c r="A48" s="29"/>
      <c r="K48" s="2"/>
    </row>
    <row r="49" spans="1:11" x14ac:dyDescent="0.2">
      <c r="A49"/>
      <c r="K49" s="2"/>
    </row>
    <row r="50" spans="1:11" x14ac:dyDescent="0.2">
      <c r="A50"/>
      <c r="K50" s="2"/>
    </row>
    <row r="51" spans="1:11" x14ac:dyDescent="0.2">
      <c r="A51"/>
      <c r="B51" s="50"/>
      <c r="C51" s="50"/>
      <c r="D51"/>
      <c r="E51"/>
      <c r="F51"/>
      <c r="G51"/>
      <c r="H51"/>
      <c r="I51" s="6"/>
      <c r="K51" s="2"/>
    </row>
    <row r="52" spans="1:11" x14ac:dyDescent="0.2">
      <c r="A52"/>
    </row>
    <row r="53" spans="1:11" x14ac:dyDescent="0.2">
      <c r="A53"/>
    </row>
  </sheetData>
  <sheetProtection selectLockedCells="1"/>
  <mergeCells count="6">
    <mergeCell ref="H26:I26"/>
    <mergeCell ref="B1:P1"/>
    <mergeCell ref="B3:F3"/>
    <mergeCell ref="H3:P3"/>
    <mergeCell ref="S3:V3"/>
    <mergeCell ref="H25:I25"/>
  </mergeCells>
  <conditionalFormatting sqref="E5">
    <cfRule type="cellIs" dxfId="2" priority="1" stopIfTrue="1" operator="greaterThan">
      <formula>#REF!</formula>
    </cfRule>
  </conditionalFormatting>
  <printOptions horizontalCentered="1"/>
  <pageMargins left="0" right="0" top="0.98425196850393704" bottom="0.98425196850393704" header="0.51181102362204722" footer="0.51181102362204722"/>
  <pageSetup paperSize="9" scale="47" orientation="portrait" cellComments="asDisplayed" horizontalDpi="300" verticalDpi="300" r:id="rId1"/>
  <headerFooter alignWithMargins="0">
    <oddFooter>&amp;C&amp;1#&amp;"Arial"&amp;7&amp;K7f7f7fGeneral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27"/>
  <sheetViews>
    <sheetView zoomScaleNormal="100" workbookViewId="0">
      <selection activeCell="C10" sqref="C10:E10"/>
    </sheetView>
  </sheetViews>
  <sheetFormatPr baseColWidth="10" defaultRowHeight="12.75" x14ac:dyDescent="0.2"/>
  <cols>
    <col min="1" max="1" width="1.7109375" customWidth="1"/>
    <col min="2" max="2" width="29.28515625" customWidth="1"/>
    <col min="3" max="4" width="11.7109375" customWidth="1"/>
    <col min="5" max="6" width="11.85546875" customWidth="1"/>
    <col min="8" max="8" width="29.28515625" customWidth="1"/>
    <col min="9" max="10" width="11.85546875" customWidth="1"/>
    <col min="11" max="12" width="11.7109375" customWidth="1"/>
  </cols>
  <sheetData>
    <row r="1" spans="2:12" ht="13.5" thickBot="1" x14ac:dyDescent="0.25"/>
    <row r="2" spans="2:12" ht="16.5" thickBot="1" x14ac:dyDescent="0.25">
      <c r="B2" s="422" t="s">
        <v>12</v>
      </c>
      <c r="C2" s="423"/>
      <c r="D2" s="423"/>
      <c r="E2" s="423"/>
      <c r="F2" s="424"/>
      <c r="G2" s="345"/>
      <c r="H2" s="422" t="s">
        <v>12</v>
      </c>
      <c r="I2" s="423"/>
      <c r="J2" s="423"/>
      <c r="K2" s="423"/>
      <c r="L2" s="424"/>
    </row>
    <row r="3" spans="2:12" ht="13.5" thickBot="1" x14ac:dyDescent="0.25">
      <c r="B3" s="2"/>
      <c r="C3" s="2"/>
      <c r="D3" s="2"/>
      <c r="E3" s="2"/>
      <c r="F3" s="2"/>
      <c r="H3" s="2"/>
      <c r="I3" s="2"/>
      <c r="J3" s="2"/>
      <c r="K3" s="2"/>
      <c r="L3" s="2"/>
    </row>
    <row r="4" spans="2:12" ht="13.5" thickBot="1" x14ac:dyDescent="0.25">
      <c r="B4" s="131" t="s">
        <v>0</v>
      </c>
      <c r="C4" s="133">
        <f>'GRAS SAVOYE 2025 SITE CE'!B5</f>
        <v>4005</v>
      </c>
      <c r="D4" s="132"/>
      <c r="E4" s="127"/>
      <c r="F4" s="2"/>
      <c r="H4" s="131" t="s">
        <v>0</v>
      </c>
      <c r="I4" s="133">
        <f>'GRAS SAVOYE 2025 SITE CE'!B5</f>
        <v>4005</v>
      </c>
      <c r="J4" s="132"/>
      <c r="K4" s="127"/>
      <c r="L4" s="2"/>
    </row>
    <row r="5" spans="2:12" ht="13.5" thickBot="1" x14ac:dyDescent="0.25">
      <c r="B5" s="4"/>
      <c r="C5" s="3"/>
      <c r="D5" s="3"/>
      <c r="E5" s="2"/>
      <c r="F5" s="2"/>
      <c r="H5" s="4"/>
      <c r="I5" s="3"/>
      <c r="J5" s="3"/>
      <c r="K5" s="2"/>
      <c r="L5" s="2"/>
    </row>
    <row r="6" spans="2:12" ht="15.75" thickBot="1" x14ac:dyDescent="0.25">
      <c r="B6" s="257" t="s">
        <v>1</v>
      </c>
      <c r="C6" s="259"/>
      <c r="D6" s="3"/>
      <c r="E6" s="2"/>
      <c r="F6" s="262" t="s">
        <v>92</v>
      </c>
      <c r="H6" s="257" t="s">
        <v>1</v>
      </c>
      <c r="I6" s="259"/>
      <c r="J6" s="3"/>
      <c r="K6" s="2"/>
      <c r="L6" s="262" t="s">
        <v>92</v>
      </c>
    </row>
    <row r="7" spans="2:12" ht="13.5" thickBot="1" x14ac:dyDescent="0.25">
      <c r="B7" s="263" t="s">
        <v>67</v>
      </c>
      <c r="C7" s="200">
        <f>'GRAS SAVOYE 2025 SITE CE'!B8</f>
        <v>2.9700000000000001E-2</v>
      </c>
      <c r="D7" s="3"/>
      <c r="E7" s="2"/>
      <c r="F7" s="260">
        <f>ROUND($C$4*C7,2)</f>
        <v>118.95</v>
      </c>
      <c r="H7" s="263" t="s">
        <v>67</v>
      </c>
      <c r="I7" s="200">
        <f>'GRAS SAVOYE 2025 SITE CE'!B8</f>
        <v>2.9700000000000001E-2</v>
      </c>
      <c r="J7" s="3"/>
      <c r="K7" s="2"/>
      <c r="L7" s="260">
        <f>ROUND($C$4*I7,2)</f>
        <v>118.95</v>
      </c>
    </row>
    <row r="8" spans="2:12" ht="13.5" thickBot="1" x14ac:dyDescent="0.25">
      <c r="B8" s="331" t="s">
        <v>88</v>
      </c>
      <c r="C8" s="202">
        <f>'GRAS SAVOYE 2025 SITE CE'!B9</f>
        <v>1.5699999999999999E-2</v>
      </c>
      <c r="D8" s="3"/>
      <c r="E8" s="387" t="str">
        <f>'GRAS SAVOYE 2025 SITE CE'!D9</f>
        <v>non</v>
      </c>
      <c r="F8" s="324">
        <f>IF(E8="oui",$C$4*C8,0)</f>
        <v>0</v>
      </c>
      <c r="H8" s="331" t="s">
        <v>88</v>
      </c>
      <c r="I8" s="202">
        <f>'GRAS SAVOYE 2025 SITE CE'!B9</f>
        <v>1.5699999999999999E-2</v>
      </c>
      <c r="J8" s="3"/>
      <c r="K8" s="308" t="str">
        <f>E8</f>
        <v>non</v>
      </c>
      <c r="L8" s="324">
        <f>IF(K8="oui",$C$4*I8,0)</f>
        <v>0</v>
      </c>
    </row>
    <row r="9" spans="2:12" ht="13.5" thickBot="1" x14ac:dyDescent="0.25">
      <c r="B9" s="5"/>
      <c r="C9" s="1"/>
      <c r="D9" s="1"/>
      <c r="H9" s="5"/>
      <c r="I9" s="1"/>
      <c r="J9" s="1"/>
    </row>
    <row r="10" spans="2:12" ht="13.5" thickBot="1" x14ac:dyDescent="0.25">
      <c r="B10" s="270" t="s">
        <v>109</v>
      </c>
      <c r="C10" s="271"/>
      <c r="D10" s="272"/>
      <c r="E10" s="272"/>
      <c r="H10" s="270" t="s">
        <v>110</v>
      </c>
      <c r="I10" s="271"/>
      <c r="J10" s="272"/>
      <c r="K10" s="272"/>
    </row>
    <row r="11" spans="2:12" x14ac:dyDescent="0.2">
      <c r="B11" s="263" t="s">
        <v>85</v>
      </c>
      <c r="C11" s="201">
        <f>'GRAS SAVOYE 2025 SITE CE'!B12</f>
        <v>0.5</v>
      </c>
      <c r="D11" s="201">
        <f>'GRAS SAVOYE 2025 SITE CE'!C12</f>
        <v>1.49E-2</v>
      </c>
      <c r="E11" s="265">
        <f>'GRAS SAVOYE 2025 SITE CE'!D12</f>
        <v>59.674500000000002</v>
      </c>
      <c r="F11" s="235"/>
      <c r="H11" s="263" t="s">
        <v>85</v>
      </c>
      <c r="I11" s="202">
        <f>'GRAS SAVOYE 2025 SITE CE'!B17</f>
        <v>0.5</v>
      </c>
      <c r="J11" s="201">
        <f>'GRAS SAVOYE 2025 SITE CE'!C17</f>
        <v>1.49E-2</v>
      </c>
      <c r="K11" s="265">
        <f>'GRAS SAVOYE 2025 SITE CE'!D17</f>
        <v>59.674500000000002</v>
      </c>
      <c r="L11" s="235"/>
    </row>
    <row r="12" spans="2:12" x14ac:dyDescent="0.2">
      <c r="B12" s="264" t="s">
        <v>86</v>
      </c>
      <c r="C12" s="201">
        <f>'GRAS SAVOYE 2025 SITE CE'!B13</f>
        <v>3.32E-2</v>
      </c>
      <c r="D12" s="201">
        <f>'GRAS SAVOYE 2025 SITE CE'!C13</f>
        <v>9.8999999999999999E-4</v>
      </c>
      <c r="E12" s="265">
        <f>'GRAS SAVOYE 2025 SITE CE'!D13</f>
        <v>3.96495</v>
      </c>
      <c r="F12" s="235"/>
      <c r="H12" s="264" t="s">
        <v>86</v>
      </c>
      <c r="I12" s="202">
        <f>'GRAS SAVOYE 2025 SITE CE'!B18</f>
        <v>0.2</v>
      </c>
      <c r="J12" s="201">
        <f>'GRAS SAVOYE 2025 SITE CE'!C18</f>
        <v>5.94E-3</v>
      </c>
      <c r="K12" s="265">
        <f>'GRAS SAVOYE 2025 SITE CE'!D18</f>
        <v>23.7897</v>
      </c>
      <c r="L12" s="235"/>
    </row>
    <row r="13" spans="2:12" x14ac:dyDescent="0.2">
      <c r="B13" s="327" t="s">
        <v>87</v>
      </c>
      <c r="C13" s="329">
        <f>'GRAS SAVOYE 2025 SITE CE'!B14</f>
        <v>0.46679999999999999</v>
      </c>
      <c r="D13" s="329">
        <f>'GRAS SAVOYE 2025 SITE CE'!C14</f>
        <v>1.3860000000000001E-2</v>
      </c>
      <c r="E13" s="330">
        <f>'GRAS SAVOYE 2025 SITE CE'!D14</f>
        <v>55.509300000000003</v>
      </c>
      <c r="H13" s="327" t="s">
        <v>87</v>
      </c>
      <c r="I13" s="328">
        <f>'GRAS SAVOYE 2025 SITE CE'!B19</f>
        <v>0.3</v>
      </c>
      <c r="J13" s="329">
        <f>'GRAS SAVOYE 2025 SITE CE'!C19</f>
        <v>8.9099999999999995E-3</v>
      </c>
      <c r="K13" s="330">
        <f>'GRAS SAVOYE 2025 SITE CE'!D19</f>
        <v>35.684550000000002</v>
      </c>
    </row>
    <row r="14" spans="2:12" ht="13.5" thickBot="1" x14ac:dyDescent="0.25">
      <c r="B14" s="4"/>
      <c r="C14" s="3"/>
      <c r="D14" s="3"/>
      <c r="E14" s="2"/>
      <c r="F14" s="2"/>
      <c r="H14" s="4"/>
      <c r="I14" s="3"/>
      <c r="J14" s="3"/>
      <c r="K14" s="2"/>
      <c r="L14" s="2"/>
    </row>
    <row r="15" spans="2:12" ht="15.75" thickBot="1" x14ac:dyDescent="0.25">
      <c r="B15" s="257" t="s">
        <v>89</v>
      </c>
      <c r="C15" s="258"/>
      <c r="D15" s="258"/>
      <c r="E15" s="258"/>
      <c r="F15" s="258"/>
      <c r="H15" s="257" t="s">
        <v>89</v>
      </c>
      <c r="I15" s="258"/>
      <c r="J15" s="258"/>
      <c r="K15" s="258"/>
      <c r="L15" s="258"/>
    </row>
    <row r="16" spans="2:12" x14ac:dyDescent="0.2">
      <c r="B16" s="266" t="s">
        <v>90</v>
      </c>
      <c r="C16" s="204"/>
      <c r="D16" s="204"/>
      <c r="E16" s="204"/>
      <c r="F16" s="2"/>
      <c r="H16" s="266" t="s">
        <v>90</v>
      </c>
      <c r="I16" s="204"/>
      <c r="J16" s="204"/>
      <c r="K16" s="204"/>
      <c r="L16" s="2"/>
    </row>
    <row r="17" spans="2:12" x14ac:dyDescent="0.2">
      <c r="B17" s="309">
        <f>'GRAS SAVOYE 2025 SITE CE'!A23</f>
        <v>0</v>
      </c>
      <c r="C17" s="223" t="str">
        <f>'GRAS SAVOYE 2025 SITE CE'!B23</f>
        <v>Par adulte :</v>
      </c>
      <c r="D17" s="181">
        <f>'GRAS SAVOYE 2025 SITE CE'!C23</f>
        <v>5.1999999999999998E-3</v>
      </c>
      <c r="E17" s="268">
        <f>'GRAS SAVOYE 2025 SITE CE'!D23</f>
        <v>20.826000000000001</v>
      </c>
      <c r="F17" s="236"/>
      <c r="H17" s="309">
        <f>'GRAS SAVOYE 2025 SITE CE'!A23</f>
        <v>0</v>
      </c>
      <c r="I17" s="223" t="str">
        <f>'GRAS SAVOYE 2025 SITE CE'!B23</f>
        <v>Par adulte :</v>
      </c>
      <c r="J17" s="181">
        <f>'GRAS SAVOYE 2025 SITE CE'!C23</f>
        <v>5.1999999999999998E-3</v>
      </c>
      <c r="K17" s="268">
        <f>'GRAS SAVOYE 2025 SITE CE'!D23</f>
        <v>20.826000000000001</v>
      </c>
      <c r="L17" s="236"/>
    </row>
    <row r="18" spans="2:12" x14ac:dyDescent="0.2">
      <c r="B18" s="269">
        <v>1</v>
      </c>
      <c r="C18" s="264" t="str">
        <f>'GRAS SAVOYE 2025 SITE CE'!B24</f>
        <v>Salarié</v>
      </c>
      <c r="D18" s="181">
        <f>'GRAS SAVOYE 2025 SITE CE'!C24</f>
        <v>5.1999999999999998E-3</v>
      </c>
      <c r="E18" s="268">
        <f>'GRAS SAVOYE 2025 SITE CE'!D24</f>
        <v>20.826000000000001</v>
      </c>
      <c r="F18" s="324">
        <f>E18*$B$17</f>
        <v>0</v>
      </c>
      <c r="H18" s="269">
        <v>1</v>
      </c>
      <c r="I18" s="264" t="str">
        <f>'GRAS SAVOYE 2025 SITE CE'!B24</f>
        <v>Salarié</v>
      </c>
      <c r="J18" s="181">
        <f>'GRAS SAVOYE 2025 SITE CE'!C24</f>
        <v>5.1999999999999998E-3</v>
      </c>
      <c r="K18" s="268">
        <f>'GRAS SAVOYE 2025 SITE CE'!D24</f>
        <v>20.826000000000001</v>
      </c>
      <c r="L18" s="324">
        <f>K18*$B$17</f>
        <v>0</v>
      </c>
    </row>
    <row r="19" spans="2:12" hidden="1" x14ac:dyDescent="0.2">
      <c r="B19" s="269">
        <v>0</v>
      </c>
      <c r="C19" s="264" t="str">
        <f>'GRAS SAVOYE 2025 SITE CE'!B25</f>
        <v>Employeur</v>
      </c>
      <c r="D19" s="181">
        <f>'GRAS SAVOYE 2025 SITE CE'!C25</f>
        <v>0</v>
      </c>
      <c r="E19" s="268">
        <f>'GRAS SAVOYE 2025 SITE CE'!D25</f>
        <v>0</v>
      </c>
      <c r="F19" s="236"/>
      <c r="H19" s="269">
        <v>0</v>
      </c>
      <c r="I19" s="264" t="str">
        <f>'GRAS SAVOYE 2025 SITE CE'!B25</f>
        <v>Employeur</v>
      </c>
      <c r="J19" s="181">
        <f>'GRAS SAVOYE 2025 SITE CE'!C25</f>
        <v>0</v>
      </c>
      <c r="K19" s="268">
        <f>'GRAS SAVOYE 2025 SITE CE'!D25</f>
        <v>0</v>
      </c>
      <c r="L19" s="236"/>
    </row>
    <row r="20" spans="2:12" x14ac:dyDescent="0.2">
      <c r="B20" s="169" t="s">
        <v>91</v>
      </c>
      <c r="C20" s="3">
        <f>'GRAS SAVOYE 2025 SITE CE'!B26</f>
        <v>0</v>
      </c>
      <c r="D20" s="248">
        <f>'GRAS SAVOYE 2025 SITE CE'!C26</f>
        <v>0</v>
      </c>
      <c r="E20" s="236"/>
      <c r="F20" s="236"/>
      <c r="H20" s="169" t="s">
        <v>91</v>
      </c>
      <c r="I20" s="3"/>
      <c r="J20" s="248"/>
      <c r="K20" s="236"/>
      <c r="L20" s="236"/>
    </row>
    <row r="21" spans="2:12" x14ac:dyDescent="0.2">
      <c r="B21" s="309">
        <f>'GRAS SAVOYE 2025 SITE CE'!A27</f>
        <v>0</v>
      </c>
      <c r="C21" s="223" t="str">
        <f>'GRAS SAVOYE 2025 SITE CE'!B27</f>
        <v>Par enfant :</v>
      </c>
      <c r="D21" s="181">
        <f>'GRAS SAVOYE 2025 SITE CE'!C27</f>
        <v>2.0999999999999999E-3</v>
      </c>
      <c r="E21" s="268">
        <f>'GRAS SAVOYE 2025 SITE CE'!D27</f>
        <v>8.410499999999999</v>
      </c>
      <c r="F21" s="236"/>
      <c r="H21" s="309">
        <f>'GRAS SAVOYE 2025 SITE CE'!A27</f>
        <v>0</v>
      </c>
      <c r="I21" s="223" t="str">
        <f>'GRAS SAVOYE 2025 SITE CE'!B27</f>
        <v>Par enfant :</v>
      </c>
      <c r="J21" s="181">
        <f>'GRAS SAVOYE 2025 SITE CE'!C27</f>
        <v>2.0999999999999999E-3</v>
      </c>
      <c r="K21" s="268">
        <f>'GRAS SAVOYE 2025 SITE CE'!D27</f>
        <v>8.410499999999999</v>
      </c>
      <c r="L21" s="236"/>
    </row>
    <row r="22" spans="2:12" x14ac:dyDescent="0.2">
      <c r="B22" s="269">
        <v>1</v>
      </c>
      <c r="C22" s="264" t="str">
        <f>'GRAS SAVOYE 2025 SITE CE'!B28</f>
        <v>Salarié</v>
      </c>
      <c r="D22" s="181">
        <f>'GRAS SAVOYE 2025 SITE CE'!C28</f>
        <v>2.0999999999999999E-3</v>
      </c>
      <c r="E22" s="268">
        <f>'GRAS SAVOYE 2025 SITE CE'!D28</f>
        <v>8.410499999999999</v>
      </c>
      <c r="F22" s="324">
        <f>E22*$B$21</f>
        <v>0</v>
      </c>
      <c r="H22" s="269">
        <v>1</v>
      </c>
      <c r="I22" s="264" t="str">
        <f>'GRAS SAVOYE 2025 SITE CE'!B28</f>
        <v>Salarié</v>
      </c>
      <c r="J22" s="181">
        <f>'GRAS SAVOYE 2025 SITE CE'!C28</f>
        <v>2.0999999999999999E-3</v>
      </c>
      <c r="K22" s="268">
        <f>'GRAS SAVOYE 2025 SITE CE'!D28</f>
        <v>8.410499999999999</v>
      </c>
      <c r="L22" s="324">
        <f>K22*$B$21</f>
        <v>0</v>
      </c>
    </row>
    <row r="23" spans="2:12" hidden="1" x14ac:dyDescent="0.2">
      <c r="B23" s="269">
        <v>0</v>
      </c>
      <c r="C23" s="264" t="str">
        <f>'GRAS SAVOYE 2025 SITE CE'!B29</f>
        <v>Employeur</v>
      </c>
      <c r="D23" s="181">
        <f>'GRAS SAVOYE 2025 SITE CE'!C29</f>
        <v>0</v>
      </c>
      <c r="E23" s="268">
        <f>'GRAS SAVOYE 2025 SITE CE'!D29</f>
        <v>0</v>
      </c>
      <c r="F23" s="236"/>
      <c r="H23" s="269">
        <v>0</v>
      </c>
      <c r="I23" s="264" t="str">
        <f>'GRAS SAVOYE 2025 SITE CE'!B29</f>
        <v>Employeur</v>
      </c>
      <c r="J23" s="181">
        <f>'GRAS SAVOYE 2025 SITE CE'!C29</f>
        <v>0</v>
      </c>
      <c r="K23" s="268">
        <f>'GRAS SAVOYE 2025 SITE CE'!D29</f>
        <v>0</v>
      </c>
      <c r="L23" s="236"/>
    </row>
    <row r="26" spans="2:12" ht="15.75" x14ac:dyDescent="0.2">
      <c r="E26" s="343" t="s">
        <v>133</v>
      </c>
      <c r="F26" s="236">
        <f>E13</f>
        <v>55.509300000000003</v>
      </c>
      <c r="K26" s="343" t="s">
        <v>135</v>
      </c>
      <c r="L26" s="236">
        <f>K13</f>
        <v>35.684550000000002</v>
      </c>
    </row>
    <row r="27" spans="2:12" ht="15.75" x14ac:dyDescent="0.2">
      <c r="E27" s="343" t="s">
        <v>134</v>
      </c>
      <c r="F27" s="344">
        <f>F8+F18+F22</f>
        <v>0</v>
      </c>
      <c r="K27" s="343" t="s">
        <v>134</v>
      </c>
      <c r="L27" s="344">
        <f>L8+L18+L22</f>
        <v>0</v>
      </c>
    </row>
  </sheetData>
  <sheetProtection sheet="1" objects="1" scenarios="1"/>
  <mergeCells count="2">
    <mergeCell ref="H2:L2"/>
    <mergeCell ref="B2:F2"/>
  </mergeCells>
  <conditionalFormatting sqref="E4">
    <cfRule type="cellIs" dxfId="1" priority="3" stopIfTrue="1" operator="greaterThan">
      <formula>#REF!</formula>
    </cfRule>
  </conditionalFormatting>
  <conditionalFormatting sqref="K4">
    <cfRule type="cellIs" dxfId="0" priority="1" stopIfTrue="1" operator="greaterThan">
      <formula>#REF!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&amp;C&amp;1#&amp;"Arial"&amp;7&amp;K7f7f7fGeneral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8"/>
  <sheetViews>
    <sheetView zoomScale="98" workbookViewId="0"/>
  </sheetViews>
  <sheetFormatPr baseColWidth="10" defaultRowHeight="12.75" x14ac:dyDescent="0.2"/>
  <cols>
    <col min="1" max="1" width="28.85546875" bestFit="1" customWidth="1"/>
    <col min="2" max="2" width="11.5703125" style="5" bestFit="1" customWidth="1"/>
    <col min="3" max="3" width="18.85546875" style="1" customWidth="1"/>
    <col min="4" max="4" width="13.28515625" style="1" bestFit="1" customWidth="1"/>
    <col min="5" max="5" width="14" bestFit="1" customWidth="1"/>
    <col min="6" max="6" width="11.7109375" bestFit="1" customWidth="1"/>
    <col min="7" max="7" width="11.5703125" bestFit="1" customWidth="1"/>
    <col min="8" max="8" width="6.42578125" style="56" bestFit="1" customWidth="1"/>
    <col min="9" max="9" width="7.42578125" bestFit="1" customWidth="1"/>
    <col min="10" max="10" width="7.42578125" customWidth="1"/>
    <col min="11" max="11" width="7" style="50" bestFit="1" customWidth="1"/>
    <col min="12" max="12" width="6.42578125" style="50" bestFit="1" customWidth="1"/>
    <col min="13" max="14" width="6.42578125" bestFit="1" customWidth="1"/>
    <col min="15" max="15" width="8.7109375" bestFit="1" customWidth="1"/>
    <col min="16" max="20" width="6.42578125" bestFit="1" customWidth="1"/>
    <col min="21" max="21" width="9" bestFit="1" customWidth="1"/>
    <col min="22" max="27" width="7.140625" bestFit="1" customWidth="1"/>
  </cols>
  <sheetData>
    <row r="1" spans="1:30" ht="13.5" thickBot="1" x14ac:dyDescent="0.25">
      <c r="K1" s="55"/>
    </row>
    <row r="2" spans="1:30" s="24" customFormat="1" ht="13.5" thickBot="1" x14ac:dyDescent="0.25">
      <c r="B2" s="23" t="s">
        <v>0</v>
      </c>
      <c r="C2" s="105">
        <v>3086</v>
      </c>
      <c r="D2" s="26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">
      <c r="H3"/>
      <c r="K3"/>
      <c r="L3"/>
    </row>
    <row r="4" spans="1:30" ht="15.75" x14ac:dyDescent="0.25">
      <c r="A4" s="22" t="s">
        <v>12</v>
      </c>
      <c r="H4"/>
      <c r="K4"/>
      <c r="L4"/>
    </row>
    <row r="5" spans="1:30" x14ac:dyDescent="0.2">
      <c r="C5" s="15" t="s">
        <v>1</v>
      </c>
      <c r="D5" s="15" t="s">
        <v>5</v>
      </c>
      <c r="H5"/>
      <c r="K5" s="56"/>
    </row>
    <row r="6" spans="1:30" x14ac:dyDescent="0.2">
      <c r="A6" s="54">
        <v>1</v>
      </c>
      <c r="B6" s="16" t="s">
        <v>2</v>
      </c>
      <c r="C6" s="86">
        <v>3.2500000000000001E-2</v>
      </c>
      <c r="D6" s="87">
        <f>$C$2*C6</f>
        <v>100.295</v>
      </c>
      <c r="H6"/>
    </row>
    <row r="7" spans="1:30" x14ac:dyDescent="0.2">
      <c r="A7" s="107">
        <f>C7/C6</f>
        <v>0.80307692307692313</v>
      </c>
      <c r="B7" s="66" t="s">
        <v>3</v>
      </c>
      <c r="C7" s="67">
        <v>2.6100000000000002E-2</v>
      </c>
      <c r="D7" s="68">
        <f>$C$2*C7</f>
        <v>80.544600000000003</v>
      </c>
      <c r="E7" s="6">
        <f>SUM(D7:D8)</f>
        <v>100.295</v>
      </c>
      <c r="H7"/>
    </row>
    <row r="8" spans="1:30" x14ac:dyDescent="0.2">
      <c r="A8" s="107">
        <f>A6-A7</f>
        <v>0.19692307692307687</v>
      </c>
      <c r="B8" s="66" t="s">
        <v>4</v>
      </c>
      <c r="C8" s="69">
        <v>6.4000000000000003E-3</v>
      </c>
      <c r="D8" s="68">
        <f>$C$2*C8</f>
        <v>19.750400000000003</v>
      </c>
    </row>
    <row r="9" spans="1:30" ht="22.5" customHeight="1" x14ac:dyDescent="0.2">
      <c r="D9" s="6"/>
      <c r="M9" s="100">
        <v>2001</v>
      </c>
      <c r="N9" s="100">
        <v>2279</v>
      </c>
      <c r="O9" s="100"/>
    </row>
    <row r="10" spans="1:30" x14ac:dyDescent="0.2">
      <c r="A10" s="1" t="s">
        <v>56</v>
      </c>
      <c r="C10" s="19" t="s">
        <v>6</v>
      </c>
      <c r="D10" s="19" t="s">
        <v>29</v>
      </c>
      <c r="E10" s="95" t="s">
        <v>54</v>
      </c>
      <c r="F10" s="19" t="s">
        <v>30</v>
      </c>
      <c r="G10" s="95" t="s">
        <v>55</v>
      </c>
      <c r="M10" s="100">
        <v>2002</v>
      </c>
      <c r="N10" s="100">
        <v>2352</v>
      </c>
      <c r="O10" s="101">
        <f t="shared" ref="O10:O28" si="0">SUM((N10/N9)-1)</f>
        <v>3.2031592803861253E-2</v>
      </c>
    </row>
    <row r="11" spans="1:30" x14ac:dyDescent="0.2">
      <c r="A11" s="103">
        <v>2</v>
      </c>
      <c r="B11" s="17" t="s">
        <v>7</v>
      </c>
      <c r="C11" s="53">
        <v>3.7200000000000002E-3</v>
      </c>
      <c r="D11" s="18">
        <f>$C$2*C11</f>
        <v>11.47992</v>
      </c>
      <c r="E11" s="96">
        <f>D11*A11</f>
        <v>22.95984</v>
      </c>
      <c r="F11" s="18">
        <f>D11*12</f>
        <v>137.75904</v>
      </c>
      <c r="G11" s="96">
        <f>F11*A11</f>
        <v>275.51808</v>
      </c>
      <c r="M11" s="100">
        <v>2003</v>
      </c>
      <c r="N11" s="100">
        <v>2432</v>
      </c>
      <c r="O11" s="101">
        <f t="shared" si="0"/>
        <v>3.4013605442176909E-2</v>
      </c>
    </row>
    <row r="12" spans="1:30" x14ac:dyDescent="0.2">
      <c r="A12" s="103">
        <v>2</v>
      </c>
      <c r="B12" s="17" t="s">
        <v>8</v>
      </c>
      <c r="C12" s="53">
        <v>1.4400000000000001E-3</v>
      </c>
      <c r="D12" s="18">
        <f>$C$2*C12</f>
        <v>4.4438400000000007</v>
      </c>
      <c r="E12" s="96">
        <f>D12*A12</f>
        <v>8.8876800000000014</v>
      </c>
      <c r="F12" s="18">
        <f>D12*12</f>
        <v>53.326080000000005</v>
      </c>
      <c r="G12" s="96">
        <f>F12*A12</f>
        <v>106.65216000000001</v>
      </c>
      <c r="M12" s="100">
        <v>2004</v>
      </c>
      <c r="N12" s="100">
        <v>2476</v>
      </c>
      <c r="O12" s="101">
        <f t="shared" si="0"/>
        <v>1.8092105263157965E-2</v>
      </c>
    </row>
    <row r="13" spans="1:30" x14ac:dyDescent="0.2">
      <c r="E13" s="96">
        <f>SUM(E11:E12)</f>
        <v>31.847520000000003</v>
      </c>
      <c r="G13" s="97">
        <f>SUM(G11:G12)</f>
        <v>382.17024000000004</v>
      </c>
      <c r="H13"/>
      <c r="K13"/>
      <c r="M13" s="100">
        <v>2005</v>
      </c>
      <c r="N13" s="100">
        <v>2516</v>
      </c>
      <c r="O13" s="101">
        <f t="shared" si="0"/>
        <v>1.6155088852988664E-2</v>
      </c>
    </row>
    <row r="14" spans="1:30" x14ac:dyDescent="0.2">
      <c r="B14" s="57"/>
      <c r="C14" s="58"/>
      <c r="D14" s="58"/>
      <c r="E14" s="58"/>
      <c r="F14" s="59"/>
      <c r="I14" s="89" t="s">
        <v>50</v>
      </c>
      <c r="J14" s="90"/>
      <c r="K14"/>
      <c r="M14" s="100">
        <v>2006</v>
      </c>
      <c r="N14" s="100">
        <v>2589</v>
      </c>
      <c r="O14" s="101">
        <f t="shared" si="0"/>
        <v>2.9014308426073221E-2</v>
      </c>
    </row>
    <row r="15" spans="1:30" x14ac:dyDescent="0.2">
      <c r="G15" s="64">
        <v>2012</v>
      </c>
      <c r="H15" s="52" t="s">
        <v>49</v>
      </c>
      <c r="I15" s="52" t="s">
        <v>51</v>
      </c>
      <c r="J15" s="52" t="s">
        <v>52</v>
      </c>
      <c r="K15"/>
      <c r="M15" s="100">
        <v>2007</v>
      </c>
      <c r="N15" s="100">
        <v>2682</v>
      </c>
      <c r="O15" s="101">
        <f t="shared" si="0"/>
        <v>3.5921205098493614E-2</v>
      </c>
    </row>
    <row r="16" spans="1:30" ht="13.5" thickBot="1" x14ac:dyDescent="0.25">
      <c r="C16" s="8">
        <v>2.3630000000000002E-2</v>
      </c>
      <c r="D16" s="7"/>
      <c r="G16" s="5" t="s">
        <v>40</v>
      </c>
      <c r="H16" s="65">
        <v>3.15E-2</v>
      </c>
      <c r="I16" s="80">
        <v>3.7399999999999998E-3</v>
      </c>
      <c r="J16" s="80">
        <v>1.4E-3</v>
      </c>
      <c r="K16"/>
      <c r="M16" s="100">
        <v>2008</v>
      </c>
      <c r="N16" s="100">
        <v>2773</v>
      </c>
      <c r="O16" s="101">
        <f t="shared" si="0"/>
        <v>3.392990305741983E-2</v>
      </c>
    </row>
    <row r="17" spans="1:15" ht="13.5" thickBot="1" x14ac:dyDescent="0.25">
      <c r="B17" s="20" t="s">
        <v>10</v>
      </c>
      <c r="C17" s="14"/>
      <c r="D17" s="104">
        <v>2713.93</v>
      </c>
      <c r="G17" s="5" t="s">
        <v>41</v>
      </c>
      <c r="H17" s="91">
        <v>3.1899999999999998E-2</v>
      </c>
      <c r="I17" s="92"/>
      <c r="J17" s="93"/>
      <c r="K17"/>
      <c r="M17" s="100">
        <v>2009</v>
      </c>
      <c r="N17" s="100">
        <v>2859</v>
      </c>
      <c r="O17" s="101">
        <f t="shared" si="0"/>
        <v>3.101334294987379E-2</v>
      </c>
    </row>
    <row r="18" spans="1:15" ht="13.5" thickBot="1" x14ac:dyDescent="0.25">
      <c r="B18" s="9"/>
      <c r="C18" s="10" t="s">
        <v>11</v>
      </c>
      <c r="D18" s="11">
        <v>3</v>
      </c>
      <c r="G18" s="94" t="s">
        <v>42</v>
      </c>
      <c r="H18" s="79">
        <f>H16*$H$17+H16</f>
        <v>3.2504850000000002E-2</v>
      </c>
      <c r="I18" s="106">
        <f>I16*$H$17+I16</f>
        <v>3.8593059999999998E-3</v>
      </c>
      <c r="J18" s="106">
        <f>J16*$H$17+J16</f>
        <v>1.44466E-3</v>
      </c>
      <c r="M18" s="100">
        <v>2010</v>
      </c>
      <c r="N18" s="100">
        <v>2885</v>
      </c>
      <c r="O18" s="101">
        <f t="shared" si="0"/>
        <v>9.0940888422526012E-3</v>
      </c>
    </row>
    <row r="19" spans="1:15" ht="13.5" thickBot="1" x14ac:dyDescent="0.25">
      <c r="C19" s="12" t="s">
        <v>39</v>
      </c>
      <c r="D19" s="13">
        <f>IF(D17&lt;C2,D17*C16,D7-D18)</f>
        <v>64.130165899999994</v>
      </c>
      <c r="G19" s="56"/>
      <c r="H19"/>
      <c r="I19" s="50"/>
      <c r="J19" s="50"/>
      <c r="M19" s="100">
        <v>2011</v>
      </c>
      <c r="N19" s="100">
        <v>2946</v>
      </c>
      <c r="O19" s="101">
        <f t="shared" si="0"/>
        <v>2.1143847487001821E-2</v>
      </c>
    </row>
    <row r="20" spans="1:15" ht="13.5" thickBot="1" x14ac:dyDescent="0.25">
      <c r="C20" s="74" t="s">
        <v>9</v>
      </c>
      <c r="D20" s="75">
        <f>IF(D17&lt;C2,D7-D19,3)</f>
        <v>16.414434100000008</v>
      </c>
      <c r="F20" s="84"/>
      <c r="G20" s="85" t="s">
        <v>43</v>
      </c>
      <c r="H20" s="70"/>
      <c r="I20" s="88"/>
      <c r="J20" s="71" t="s">
        <v>53</v>
      </c>
      <c r="K20" s="72">
        <f>SUM(E7-D6)/(E7)</f>
        <v>0</v>
      </c>
      <c r="M20" s="100">
        <v>2012</v>
      </c>
      <c r="N20" s="100">
        <v>3031</v>
      </c>
      <c r="O20" s="101">
        <f t="shared" si="0"/>
        <v>2.8852681602172359E-2</v>
      </c>
    </row>
    <row r="21" spans="1:15" x14ac:dyDescent="0.2">
      <c r="C21" s="76" t="s">
        <v>47</v>
      </c>
      <c r="D21" s="77">
        <f>SUM(D8,D19,D20)</f>
        <v>100.295</v>
      </c>
      <c r="M21" s="100">
        <v>2013</v>
      </c>
      <c r="N21" s="100">
        <v>3086</v>
      </c>
      <c r="O21" s="101">
        <f t="shared" si="0"/>
        <v>1.8145826459914138E-2</v>
      </c>
    </row>
    <row r="22" spans="1:15" x14ac:dyDescent="0.2">
      <c r="D22" s="6"/>
      <c r="M22" s="100">
        <v>2014</v>
      </c>
      <c r="N22" s="100">
        <v>3129</v>
      </c>
      <c r="O22" s="101">
        <f t="shared" si="0"/>
        <v>1.393389500972142E-2</v>
      </c>
    </row>
    <row r="23" spans="1:15" ht="16.5" thickBot="1" x14ac:dyDescent="0.3">
      <c r="A23" s="22" t="s">
        <v>13</v>
      </c>
      <c r="M23" s="100">
        <v>2015</v>
      </c>
      <c r="N23" s="100"/>
      <c r="O23" s="101">
        <f t="shared" si="0"/>
        <v>-1</v>
      </c>
    </row>
    <row r="24" spans="1:15" ht="15.75" customHeight="1" thickBot="1" x14ac:dyDescent="0.25">
      <c r="A24" s="20" t="s">
        <v>20</v>
      </c>
      <c r="B24" s="104">
        <f>D17</f>
        <v>2713.93</v>
      </c>
      <c r="C24"/>
      <c r="M24" s="100">
        <v>2016</v>
      </c>
      <c r="N24" s="100"/>
      <c r="O24" s="101" t="e">
        <f t="shared" si="0"/>
        <v>#DIV/0!</v>
      </c>
    </row>
    <row r="25" spans="1:15" s="29" customFormat="1" x14ac:dyDescent="0.2">
      <c r="A25" s="27"/>
      <c r="B25" s="28"/>
      <c r="D25" s="28"/>
      <c r="H25" s="56"/>
      <c r="K25" s="50"/>
      <c r="L25" s="50"/>
      <c r="M25" s="100">
        <v>2017</v>
      </c>
      <c r="N25" s="100"/>
      <c r="O25" s="101" t="e">
        <f t="shared" si="0"/>
        <v>#DIV/0!</v>
      </c>
    </row>
    <row r="26" spans="1:15" s="29" customFormat="1" x14ac:dyDescent="0.2">
      <c r="A26" s="49" t="s">
        <v>24</v>
      </c>
      <c r="B26" s="27" t="s">
        <v>27</v>
      </c>
      <c r="D26" s="28"/>
      <c r="H26" s="56"/>
      <c r="K26" s="50"/>
      <c r="L26" s="50"/>
      <c r="M26" s="100">
        <v>2018</v>
      </c>
      <c r="N26" s="100"/>
      <c r="O26" s="101" t="e">
        <f t="shared" si="0"/>
        <v>#DIV/0!</v>
      </c>
    </row>
    <row r="27" spans="1:15" s="29" customFormat="1" x14ac:dyDescent="0.2">
      <c r="A27" s="49" t="s">
        <v>25</v>
      </c>
      <c r="B27" s="27" t="s">
        <v>28</v>
      </c>
      <c r="D27" s="28"/>
      <c r="H27" s="56"/>
      <c r="K27" s="50"/>
      <c r="L27" s="50"/>
      <c r="M27" s="100">
        <v>2019</v>
      </c>
      <c r="N27" s="100"/>
      <c r="O27" s="101" t="e">
        <f t="shared" si="0"/>
        <v>#DIV/0!</v>
      </c>
    </row>
    <row r="28" spans="1:15" s="29" customFormat="1" ht="13.5" thickBot="1" x14ac:dyDescent="0.25">
      <c r="A28" s="27"/>
      <c r="B28" s="28"/>
      <c r="D28" s="28"/>
      <c r="H28" s="56"/>
      <c r="K28" s="50"/>
      <c r="L28" s="50"/>
      <c r="M28" s="100">
        <v>2020</v>
      </c>
      <c r="N28" s="100"/>
      <c r="O28" s="101" t="e">
        <f t="shared" si="0"/>
        <v>#DIV/0!</v>
      </c>
    </row>
    <row r="29" spans="1:15" ht="13.5" thickBot="1" x14ac:dyDescent="0.25">
      <c r="B29" s="391" t="s">
        <v>19</v>
      </c>
      <c r="C29" s="392"/>
      <c r="E29" s="391" t="s">
        <v>18</v>
      </c>
      <c r="F29" s="392"/>
    </row>
    <row r="30" spans="1:15" s="1" customFormat="1" x14ac:dyDescent="0.2">
      <c r="A30" s="32"/>
      <c r="B30" s="60" t="s">
        <v>14</v>
      </c>
      <c r="C30" s="60" t="s">
        <v>23</v>
      </c>
      <c r="D30" s="33"/>
      <c r="E30" s="60" t="s">
        <v>14</v>
      </c>
      <c r="F30" s="61" t="s">
        <v>15</v>
      </c>
      <c r="H30" s="50"/>
      <c r="K30" s="50"/>
      <c r="L30" s="50"/>
    </row>
    <row r="31" spans="1:15" x14ac:dyDescent="0.2">
      <c r="A31" s="62" t="s">
        <v>16</v>
      </c>
      <c r="B31" s="8">
        <v>6.5199999999999998E-3</v>
      </c>
      <c r="C31" s="31">
        <v>8.5000000000000006E-3</v>
      </c>
      <c r="E31" s="8">
        <v>8.4799999999999997E-3</v>
      </c>
      <c r="F31" s="34">
        <v>8.9999999999999993E-3</v>
      </c>
    </row>
    <row r="32" spans="1:15" x14ac:dyDescent="0.2">
      <c r="A32" s="35" t="s">
        <v>22</v>
      </c>
      <c r="B32" s="1">
        <f>IF(B24&lt;C2,B24,C2)</f>
        <v>2713.93</v>
      </c>
      <c r="C32" s="1">
        <f>IF(B24&lt;C2,0,B24-C2)</f>
        <v>0</v>
      </c>
      <c r="E32" s="1">
        <f>IF(B24&lt;C2,B24,C2)</f>
        <v>2713.93</v>
      </c>
      <c r="F32" s="36">
        <f>IF(B24&lt;C2,0,B24-C2)</f>
        <v>0</v>
      </c>
    </row>
    <row r="33" spans="1:6" ht="13.5" thickBot="1" x14ac:dyDescent="0.25">
      <c r="A33" s="37" t="s">
        <v>21</v>
      </c>
      <c r="B33" s="6">
        <f>$B$32*B31</f>
        <v>17.694823599999999</v>
      </c>
      <c r="C33" s="6">
        <f>C32*C31</f>
        <v>0</v>
      </c>
      <c r="D33" s="6"/>
      <c r="E33" s="6">
        <f>$E$32*E31</f>
        <v>23.014126399999999</v>
      </c>
      <c r="F33" s="38">
        <f>$E$32*F31</f>
        <v>24.425369999999997</v>
      </c>
    </row>
    <row r="34" spans="1:6" ht="13.5" thickBot="1" x14ac:dyDescent="0.25">
      <c r="A34" s="37" t="s">
        <v>26</v>
      </c>
      <c r="B34" s="388">
        <f>SUM(B33:C33)</f>
        <v>17.694823599999999</v>
      </c>
      <c r="C34" s="389"/>
      <c r="D34" s="6"/>
      <c r="E34" s="388">
        <f>SUM(E33:F33)</f>
        <v>47.439496399999996</v>
      </c>
      <c r="F34" s="389"/>
    </row>
    <row r="35" spans="1:6" ht="13.5" thickBot="1" x14ac:dyDescent="0.25">
      <c r="A35" s="39"/>
      <c r="B35" s="40"/>
      <c r="C35" s="40"/>
      <c r="D35" s="48">
        <f>SUM(B34:F34)</f>
        <v>65.134320000000002</v>
      </c>
      <c r="E35" s="40"/>
      <c r="F35" s="41"/>
    </row>
    <row r="36" spans="1:6" ht="13.5" thickBot="1" x14ac:dyDescent="0.25">
      <c r="B36" s="1"/>
      <c r="D36" s="30"/>
      <c r="E36" s="1"/>
      <c r="F36" s="1"/>
    </row>
    <row r="37" spans="1:6" x14ac:dyDescent="0.2">
      <c r="A37" s="63" t="s">
        <v>17</v>
      </c>
      <c r="B37" s="42">
        <v>0</v>
      </c>
      <c r="C37" s="43">
        <v>8.5000000000000006E-3</v>
      </c>
      <c r="D37" s="33"/>
      <c r="E37" s="43">
        <v>1.4999999999999999E-2</v>
      </c>
      <c r="F37" s="44">
        <v>8.9999999999999993E-3</v>
      </c>
    </row>
    <row r="38" spans="1:6" x14ac:dyDescent="0.2">
      <c r="A38" s="35" t="s">
        <v>22</v>
      </c>
      <c r="B38" s="31"/>
      <c r="C38" s="1">
        <f>IF(B24&lt;C2,0,B24-C2)</f>
        <v>0</v>
      </c>
      <c r="E38" s="1">
        <f>IF(B24&lt;C2,B24,C2)</f>
        <v>2713.93</v>
      </c>
      <c r="F38" s="36">
        <f>IF(B24&lt;C2,0,B24-C2)</f>
        <v>0</v>
      </c>
    </row>
    <row r="39" spans="1:6" ht="13.5" thickBot="1" x14ac:dyDescent="0.25">
      <c r="A39" s="37" t="s">
        <v>21</v>
      </c>
      <c r="B39" s="6"/>
      <c r="C39" s="6">
        <f>C38*C37</f>
        <v>0</v>
      </c>
      <c r="D39" s="6"/>
      <c r="E39" s="6">
        <f>E38*E37</f>
        <v>40.708949999999994</v>
      </c>
      <c r="F39" s="38">
        <f>F38*F37</f>
        <v>0</v>
      </c>
    </row>
    <row r="40" spans="1:6" ht="13.5" thickBot="1" x14ac:dyDescent="0.25">
      <c r="A40" s="37" t="s">
        <v>26</v>
      </c>
      <c r="B40" s="388">
        <f>SUM(B39:C39)</f>
        <v>0</v>
      </c>
      <c r="C40" s="389"/>
      <c r="E40" s="388">
        <f>SUM(E39:F39)</f>
        <v>40.708949999999994</v>
      </c>
      <c r="F40" s="389"/>
    </row>
    <row r="41" spans="1:6" ht="13.5" thickBot="1" x14ac:dyDescent="0.25">
      <c r="A41" s="39"/>
      <c r="B41" s="45"/>
      <c r="C41" s="40"/>
      <c r="D41" s="48">
        <f>SUM(B40:F40)</f>
        <v>40.708949999999994</v>
      </c>
      <c r="E41" s="46"/>
      <c r="F41" s="47"/>
    </row>
    <row r="46" spans="1:6" x14ac:dyDescent="0.2">
      <c r="C46" s="5" t="s">
        <v>46</v>
      </c>
      <c r="D46" s="73">
        <v>0.16</v>
      </c>
      <c r="E46" s="1"/>
    </row>
    <row r="47" spans="1:6" x14ac:dyDescent="0.2">
      <c r="C47" s="5" t="s">
        <v>45</v>
      </c>
      <c r="D47" s="5" t="s">
        <v>44</v>
      </c>
      <c r="E47" s="30">
        <v>114.27</v>
      </c>
    </row>
    <row r="48" spans="1:6" x14ac:dyDescent="0.2">
      <c r="D48" s="5" t="s">
        <v>48</v>
      </c>
      <c r="E48" s="30">
        <f>SUM(E47-D6)</f>
        <v>13.974999999999994</v>
      </c>
    </row>
  </sheetData>
  <mergeCells count="6">
    <mergeCell ref="B40:C40"/>
    <mergeCell ref="E34:F34"/>
    <mergeCell ref="E40:F40"/>
    <mergeCell ref="B29:C29"/>
    <mergeCell ref="E29:F29"/>
    <mergeCell ref="B34:C34"/>
  </mergeCells>
  <phoneticPr fontId="2" type="noConversion"/>
  <conditionalFormatting sqref="E7 D21">
    <cfRule type="cellIs" dxfId="14" priority="1" stopIfTrue="1" operator="greaterThan">
      <formula>$D$6</formula>
    </cfRule>
  </conditionalFormatting>
  <printOptions horizontalCentered="1" headings="1" gridLines="1"/>
  <pageMargins left="0" right="0" top="0.98425196850393704" bottom="0.98425196850393704" header="0.51181102362204722" footer="0.51181102362204722"/>
  <pageSetup paperSize="9" scale="71" orientation="landscape" cellComments="asDisplayed" r:id="rId1"/>
  <headerFooter alignWithMargins="0">
    <oddHeader>&amp;C&amp;F / &amp;A</oddHeader>
    <oddFooter>&amp;C&amp;1#&amp;"Arial"&amp;7&amp;K7f7f7fGeneral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1"/>
  <sheetViews>
    <sheetView zoomScale="98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30.5703125" bestFit="1" customWidth="1"/>
    <col min="2" max="2" width="11.5703125" style="5" bestFit="1" customWidth="1"/>
    <col min="3" max="3" width="18.85546875" style="1" customWidth="1"/>
    <col min="4" max="4" width="13.28515625" style="1" bestFit="1" customWidth="1"/>
    <col min="5" max="5" width="14" bestFit="1" customWidth="1"/>
    <col min="6" max="6" width="11.7109375" bestFit="1" customWidth="1"/>
    <col min="7" max="7" width="11.5703125" bestFit="1" customWidth="1"/>
    <col min="8" max="8" width="6.5703125" style="56" bestFit="1" customWidth="1"/>
    <col min="9" max="9" width="7.42578125" bestFit="1" customWidth="1"/>
    <col min="10" max="10" width="7.42578125" customWidth="1"/>
    <col min="11" max="11" width="7" style="50" bestFit="1" customWidth="1"/>
    <col min="12" max="12" width="6.42578125" style="50" bestFit="1" customWidth="1"/>
    <col min="13" max="14" width="6.42578125" bestFit="1" customWidth="1"/>
    <col min="15" max="15" width="8.7109375" bestFit="1" customWidth="1"/>
    <col min="16" max="20" width="6.42578125" bestFit="1" customWidth="1"/>
    <col min="21" max="21" width="9" bestFit="1" customWidth="1"/>
    <col min="22" max="27" width="7.140625" bestFit="1" customWidth="1"/>
  </cols>
  <sheetData>
    <row r="1" spans="1:30" s="24" customFormat="1" ht="13.5" thickBot="1" x14ac:dyDescent="0.25">
      <c r="B1" s="23" t="s">
        <v>0</v>
      </c>
      <c r="C1" s="105">
        <v>3129</v>
      </c>
      <c r="D1" s="2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2">
      <c r="H2"/>
      <c r="K2"/>
      <c r="L2"/>
    </row>
    <row r="3" spans="1:30" ht="15.75" x14ac:dyDescent="0.25">
      <c r="A3" s="22" t="s">
        <v>12</v>
      </c>
      <c r="H3"/>
      <c r="K3"/>
      <c r="L3"/>
    </row>
    <row r="4" spans="1:30" x14ac:dyDescent="0.2">
      <c r="C4" s="15" t="s">
        <v>1</v>
      </c>
      <c r="D4" s="15" t="s">
        <v>5</v>
      </c>
      <c r="H4"/>
      <c r="K4" s="56"/>
    </row>
    <row r="5" spans="1:30" x14ac:dyDescent="0.2">
      <c r="A5" s="54">
        <v>1</v>
      </c>
      <c r="B5" s="16" t="s">
        <v>2</v>
      </c>
      <c r="C5" s="86">
        <v>3.3799999999999997E-2</v>
      </c>
      <c r="D5" s="87">
        <f>$C$1*C5</f>
        <v>105.76019999999998</v>
      </c>
      <c r="H5"/>
    </row>
    <row r="6" spans="1:30" x14ac:dyDescent="0.2">
      <c r="A6" s="107">
        <f>C6/C5</f>
        <v>0.7721893491124262</v>
      </c>
      <c r="B6" s="66" t="s">
        <v>3</v>
      </c>
      <c r="C6" s="67">
        <v>2.6100000000000002E-2</v>
      </c>
      <c r="D6" s="68">
        <f>$C$1*C6</f>
        <v>81.666899999999998</v>
      </c>
      <c r="E6" s="6">
        <f>SUM(D6:D7)</f>
        <v>105.7602</v>
      </c>
      <c r="H6"/>
    </row>
    <row r="7" spans="1:30" x14ac:dyDescent="0.2">
      <c r="A7" s="107">
        <f>A5-A6</f>
        <v>0.2278106508875738</v>
      </c>
      <c r="B7" s="66" t="s">
        <v>4</v>
      </c>
      <c r="C7" s="69">
        <v>7.7000000000000002E-3</v>
      </c>
      <c r="D7" s="68">
        <f>$C$1*C7</f>
        <v>24.093299999999999</v>
      </c>
    </row>
    <row r="8" spans="1:30" ht="16.5" customHeight="1" x14ac:dyDescent="0.2">
      <c r="D8" s="6"/>
    </row>
    <row r="9" spans="1:30" ht="16.5" customHeight="1" x14ac:dyDescent="0.2">
      <c r="D9" s="6"/>
    </row>
    <row r="10" spans="1:30" x14ac:dyDescent="0.2">
      <c r="A10" s="1" t="s">
        <v>56</v>
      </c>
      <c r="C10" s="19" t="s">
        <v>6</v>
      </c>
      <c r="D10" s="19" t="s">
        <v>29</v>
      </c>
      <c r="E10" s="95" t="s">
        <v>54</v>
      </c>
      <c r="F10" s="19" t="s">
        <v>30</v>
      </c>
      <c r="G10" s="95" t="s">
        <v>55</v>
      </c>
    </row>
    <row r="11" spans="1:30" x14ac:dyDescent="0.2">
      <c r="A11" s="103">
        <v>1</v>
      </c>
      <c r="B11" s="17" t="s">
        <v>7</v>
      </c>
      <c r="C11" s="53">
        <v>3.8700000000000002E-3</v>
      </c>
      <c r="D11" s="18">
        <f>$C$1*C11</f>
        <v>12.10923</v>
      </c>
      <c r="E11" s="96">
        <f>D11*A11</f>
        <v>12.10923</v>
      </c>
      <c r="F11" s="18">
        <f>D11*12</f>
        <v>145.31076000000002</v>
      </c>
      <c r="G11" s="96">
        <f>F11*A11</f>
        <v>145.31076000000002</v>
      </c>
    </row>
    <row r="12" spans="1:30" x14ac:dyDescent="0.2">
      <c r="A12" s="103">
        <v>1</v>
      </c>
      <c r="B12" s="17" t="s">
        <v>8</v>
      </c>
      <c r="C12" s="53">
        <v>1.5E-3</v>
      </c>
      <c r="D12" s="18">
        <f>$C$1*C12</f>
        <v>4.6935000000000002</v>
      </c>
      <c r="E12" s="96">
        <f>D12*A12</f>
        <v>4.6935000000000002</v>
      </c>
      <c r="F12" s="18">
        <f>D12*12</f>
        <v>56.322000000000003</v>
      </c>
      <c r="G12" s="96">
        <f>F12*A12</f>
        <v>56.322000000000003</v>
      </c>
    </row>
    <row r="13" spans="1:30" x14ac:dyDescent="0.2">
      <c r="E13" s="96">
        <f>SUM(E11:E12)</f>
        <v>16.80273</v>
      </c>
      <c r="G13" s="97">
        <f>SUM(G11:G12)</f>
        <v>201.63276000000002</v>
      </c>
      <c r="H13"/>
    </row>
    <row r="14" spans="1:30" x14ac:dyDescent="0.2">
      <c r="B14" s="57"/>
      <c r="C14" s="58"/>
      <c r="D14" s="58"/>
      <c r="E14" s="58"/>
      <c r="F14" s="59"/>
      <c r="I14" s="108"/>
      <c r="J14" s="100">
        <v>2001</v>
      </c>
      <c r="K14" s="100">
        <v>2279</v>
      </c>
      <c r="L14" s="100"/>
    </row>
    <row r="15" spans="1:30" x14ac:dyDescent="0.2">
      <c r="G15" s="50"/>
      <c r="H15" s="50"/>
      <c r="I15" s="50"/>
      <c r="J15" s="100">
        <v>2002</v>
      </c>
      <c r="K15" s="100">
        <v>2352</v>
      </c>
      <c r="L15" s="101">
        <f t="shared" ref="L15:L21" si="0">SUM((K15/K14)-1)</f>
        <v>3.2031592803861253E-2</v>
      </c>
    </row>
    <row r="16" spans="1:30" x14ac:dyDescent="0.2">
      <c r="G16" s="50"/>
      <c r="H16" s="50"/>
      <c r="I16" s="50"/>
      <c r="J16" s="100">
        <v>2003</v>
      </c>
      <c r="K16" s="100">
        <v>2432</v>
      </c>
      <c r="L16" s="101">
        <f t="shared" si="0"/>
        <v>3.4013605442176909E-2</v>
      </c>
    </row>
    <row r="17" spans="1:12" x14ac:dyDescent="0.2">
      <c r="G17" s="50"/>
      <c r="H17" s="50"/>
      <c r="I17" s="50"/>
      <c r="J17" s="100">
        <v>2004</v>
      </c>
      <c r="K17" s="100">
        <v>2476</v>
      </c>
      <c r="L17" s="101">
        <f t="shared" si="0"/>
        <v>1.8092105263157965E-2</v>
      </c>
    </row>
    <row r="18" spans="1:12" x14ac:dyDescent="0.2">
      <c r="G18" s="50"/>
      <c r="H18" s="50"/>
      <c r="I18" s="50"/>
      <c r="J18" s="100">
        <v>2005</v>
      </c>
      <c r="K18" s="100">
        <v>2516</v>
      </c>
      <c r="L18" s="101">
        <f t="shared" si="0"/>
        <v>1.6155088852988664E-2</v>
      </c>
    </row>
    <row r="19" spans="1:12" ht="15.75" customHeight="1" thickBot="1" x14ac:dyDescent="0.25">
      <c r="C19" s="8">
        <v>2.3630000000000002E-2</v>
      </c>
      <c r="D19" s="7"/>
      <c r="G19" s="5"/>
      <c r="H19" s="109"/>
      <c r="I19" s="110"/>
      <c r="J19" s="100">
        <v>2006</v>
      </c>
      <c r="K19" s="100">
        <v>2589</v>
      </c>
      <c r="L19" s="101">
        <f t="shared" si="0"/>
        <v>2.9014308426073221E-2</v>
      </c>
    </row>
    <row r="20" spans="1:12" ht="13.5" thickBot="1" x14ac:dyDescent="0.25">
      <c r="B20" s="20" t="s">
        <v>10</v>
      </c>
      <c r="C20" s="14"/>
      <c r="D20" s="104">
        <v>2713.93</v>
      </c>
      <c r="G20" s="5"/>
      <c r="H20" s="111"/>
      <c r="I20" s="111"/>
      <c r="J20" s="100">
        <v>2007</v>
      </c>
      <c r="K20" s="100">
        <v>2682</v>
      </c>
      <c r="L20" s="101">
        <f t="shared" si="0"/>
        <v>3.5921205098493614E-2</v>
      </c>
    </row>
    <row r="21" spans="1:12" ht="13.5" thickBot="1" x14ac:dyDescent="0.25">
      <c r="B21" s="9"/>
      <c r="C21" s="10" t="s">
        <v>11</v>
      </c>
      <c r="D21" s="11">
        <v>3</v>
      </c>
      <c r="G21" s="94"/>
      <c r="H21" s="109"/>
      <c r="I21" s="109"/>
      <c r="J21" s="100">
        <v>2008</v>
      </c>
      <c r="K21" s="100">
        <v>2773</v>
      </c>
      <c r="L21" s="101">
        <f t="shared" si="0"/>
        <v>3.392990305741983E-2</v>
      </c>
    </row>
    <row r="22" spans="1:12" ht="13.5" thickBot="1" x14ac:dyDescent="0.25">
      <c r="C22" s="12" t="s">
        <v>39</v>
      </c>
      <c r="D22" s="13">
        <f>IF(D20&lt;C1,D20*C19,D6-D21)</f>
        <v>64.130165899999994</v>
      </c>
      <c r="G22" s="56"/>
      <c r="H22"/>
      <c r="I22" s="50"/>
      <c r="J22" s="100">
        <v>2009</v>
      </c>
      <c r="K22" s="100">
        <v>2859</v>
      </c>
      <c r="L22" s="101">
        <f t="shared" ref="L22:L33" si="1">SUM((K22/K21)-1)</f>
        <v>3.101334294987379E-2</v>
      </c>
    </row>
    <row r="23" spans="1:12" x14ac:dyDescent="0.2">
      <c r="C23" s="74" t="s">
        <v>9</v>
      </c>
      <c r="D23" s="75">
        <f>IF(D20&lt;C1,D6-D22,3)</f>
        <v>17.536734100000004</v>
      </c>
      <c r="G23" s="94"/>
      <c r="H23" s="109"/>
      <c r="I23" s="109"/>
      <c r="J23" s="100">
        <v>2010</v>
      </c>
      <c r="K23" s="100">
        <v>2885</v>
      </c>
      <c r="L23" s="101">
        <f t="shared" si="1"/>
        <v>9.0940888422526012E-3</v>
      </c>
    </row>
    <row r="24" spans="1:12" x14ac:dyDescent="0.2">
      <c r="C24" s="76" t="s">
        <v>47</v>
      </c>
      <c r="D24" s="77">
        <f>SUM(D7,D22,D23)</f>
        <v>105.7602</v>
      </c>
      <c r="J24" s="100">
        <v>2011</v>
      </c>
      <c r="K24" s="100">
        <v>2946</v>
      </c>
      <c r="L24" s="101">
        <f t="shared" si="1"/>
        <v>2.1143847487001821E-2</v>
      </c>
    </row>
    <row r="25" spans="1:12" x14ac:dyDescent="0.2">
      <c r="D25" s="6"/>
      <c r="J25" s="100">
        <v>2012</v>
      </c>
      <c r="K25" s="100">
        <v>3031</v>
      </c>
      <c r="L25" s="101">
        <f t="shared" si="1"/>
        <v>2.8852681602172359E-2</v>
      </c>
    </row>
    <row r="26" spans="1:12" ht="16.5" thickBot="1" x14ac:dyDescent="0.3">
      <c r="A26" s="22" t="s">
        <v>13</v>
      </c>
      <c r="J26" s="100">
        <v>2013</v>
      </c>
      <c r="K26" s="100">
        <v>3086</v>
      </c>
      <c r="L26" s="101">
        <f t="shared" si="1"/>
        <v>1.8145826459914138E-2</v>
      </c>
    </row>
    <row r="27" spans="1:12" ht="15.75" customHeight="1" thickBot="1" x14ac:dyDescent="0.25">
      <c r="A27" s="20" t="s">
        <v>20</v>
      </c>
      <c r="B27" s="121">
        <v>3500</v>
      </c>
      <c r="C27"/>
      <c r="J27" s="100">
        <v>2014</v>
      </c>
      <c r="K27" s="100">
        <v>3129</v>
      </c>
      <c r="L27" s="101">
        <f t="shared" si="1"/>
        <v>1.393389500972142E-2</v>
      </c>
    </row>
    <row r="28" spans="1:12" s="29" customFormat="1" x14ac:dyDescent="0.2">
      <c r="A28" s="27"/>
      <c r="B28" s="28"/>
      <c r="D28" s="28"/>
      <c r="H28" s="56"/>
      <c r="J28" s="100">
        <v>2015</v>
      </c>
      <c r="K28" s="100"/>
      <c r="L28" s="101">
        <f t="shared" si="1"/>
        <v>-1</v>
      </c>
    </row>
    <row r="29" spans="1:12" s="29" customFormat="1" x14ac:dyDescent="0.2">
      <c r="A29" s="49" t="s">
        <v>24</v>
      </c>
      <c r="B29" s="27" t="s">
        <v>27</v>
      </c>
      <c r="D29" s="28"/>
      <c r="H29" s="56"/>
      <c r="J29" s="100">
        <v>2016</v>
      </c>
      <c r="K29" s="100"/>
      <c r="L29" s="101" t="e">
        <f t="shared" si="1"/>
        <v>#DIV/0!</v>
      </c>
    </row>
    <row r="30" spans="1:12" s="29" customFormat="1" ht="13.5" thickBot="1" x14ac:dyDescent="0.25">
      <c r="A30" s="49" t="s">
        <v>25</v>
      </c>
      <c r="B30" s="27" t="s">
        <v>28</v>
      </c>
      <c r="D30" s="28"/>
      <c r="H30" s="56"/>
      <c r="J30" s="100">
        <v>2017</v>
      </c>
      <c r="K30" s="100"/>
      <c r="L30" s="101" t="e">
        <f t="shared" si="1"/>
        <v>#DIV/0!</v>
      </c>
    </row>
    <row r="31" spans="1:12" s="29" customFormat="1" ht="13.5" thickBot="1" x14ac:dyDescent="0.25">
      <c r="A31" s="27"/>
      <c r="B31" s="28"/>
      <c r="D31" s="28"/>
      <c r="G31" s="393" t="s">
        <v>57</v>
      </c>
      <c r="H31" s="394"/>
      <c r="J31" s="100">
        <v>2018</v>
      </c>
      <c r="K31" s="100"/>
      <c r="L31" s="101" t="e">
        <f t="shared" si="1"/>
        <v>#DIV/0!</v>
      </c>
    </row>
    <row r="32" spans="1:12" ht="13.5" thickBot="1" x14ac:dyDescent="0.25">
      <c r="B32" s="391" t="s">
        <v>19</v>
      </c>
      <c r="C32" s="392"/>
      <c r="E32" s="391" t="s">
        <v>18</v>
      </c>
      <c r="F32" s="395"/>
      <c r="G32" s="115" t="s">
        <v>58</v>
      </c>
      <c r="H32" s="114" t="s">
        <v>59</v>
      </c>
      <c r="J32" s="100">
        <v>2019</v>
      </c>
      <c r="K32" s="100"/>
      <c r="L32" s="101" t="e">
        <f t="shared" si="1"/>
        <v>#DIV/0!</v>
      </c>
    </row>
    <row r="33" spans="1:12" s="1" customFormat="1" ht="13.5" thickBot="1" x14ac:dyDescent="0.25">
      <c r="A33" s="32"/>
      <c r="B33" s="60" t="s">
        <v>14</v>
      </c>
      <c r="C33" s="60" t="s">
        <v>23</v>
      </c>
      <c r="D33" s="33"/>
      <c r="E33" s="60" t="s">
        <v>14</v>
      </c>
      <c r="F33" s="112" t="s">
        <v>15</v>
      </c>
      <c r="G33" s="116" t="s">
        <v>14</v>
      </c>
      <c r="H33" s="61" t="s">
        <v>15</v>
      </c>
      <c r="J33" s="100">
        <v>2020</v>
      </c>
      <c r="K33" s="100"/>
      <c r="L33" s="101" t="e">
        <f t="shared" si="1"/>
        <v>#DIV/0!</v>
      </c>
    </row>
    <row r="34" spans="1:12" x14ac:dyDescent="0.2">
      <c r="A34" s="62" t="s">
        <v>16</v>
      </c>
      <c r="B34" s="8">
        <v>6.5199999999999998E-3</v>
      </c>
      <c r="C34" s="31">
        <v>8.5000000000000006E-3</v>
      </c>
      <c r="E34" s="8">
        <v>8.4799999999999997E-3</v>
      </c>
      <c r="F34" s="31">
        <v>8.9999999999999993E-3</v>
      </c>
      <c r="G34" s="120">
        <f>SUM(B34,E34)</f>
        <v>1.4999999999999999E-2</v>
      </c>
      <c r="H34" s="44">
        <f>SUM(C34,F34)</f>
        <v>1.7500000000000002E-2</v>
      </c>
    </row>
    <row r="35" spans="1:12" x14ac:dyDescent="0.2">
      <c r="A35" s="35" t="s">
        <v>22</v>
      </c>
      <c r="B35" s="1">
        <f>IF(B27&lt;C1,B27,C1)</f>
        <v>3129</v>
      </c>
      <c r="C35" s="1">
        <f>IF(B27&lt;C1,0,B27-C1)</f>
        <v>371</v>
      </c>
      <c r="E35" s="1">
        <f>IF(B27&lt;C1,B27,C1)</f>
        <v>3129</v>
      </c>
      <c r="F35" s="1">
        <f>IF(B27&lt;C1,0,B27-C1)</f>
        <v>371</v>
      </c>
      <c r="G35" s="117"/>
      <c r="H35" s="36"/>
    </row>
    <row r="36" spans="1:12" ht="13.5" thickBot="1" x14ac:dyDescent="0.25">
      <c r="A36" s="37" t="s">
        <v>21</v>
      </c>
      <c r="B36" s="6">
        <f>$B$35*B34</f>
        <v>20.40108</v>
      </c>
      <c r="C36" s="6">
        <f>C35*C34</f>
        <v>3.1535000000000002</v>
      </c>
      <c r="D36" s="6"/>
      <c r="E36" s="6">
        <f>$E$35*E34</f>
        <v>26.533919999999998</v>
      </c>
      <c r="F36" s="6">
        <f>$E$35*F34</f>
        <v>28.160999999999998</v>
      </c>
      <c r="G36" s="118"/>
      <c r="H36" s="38"/>
    </row>
    <row r="37" spans="1:12" ht="13.5" thickBot="1" x14ac:dyDescent="0.25">
      <c r="A37" s="37" t="s">
        <v>26</v>
      </c>
      <c r="B37" s="388">
        <f>SUM(B36:C36)</f>
        <v>23.554580000000001</v>
      </c>
      <c r="C37" s="389"/>
      <c r="D37" s="6"/>
      <c r="E37" s="388">
        <f>SUM(E36:F36)</f>
        <v>54.694919999999996</v>
      </c>
      <c r="F37" s="396"/>
      <c r="G37" s="113"/>
      <c r="H37" s="113"/>
    </row>
    <row r="38" spans="1:12" ht="13.5" thickBot="1" x14ac:dyDescent="0.25">
      <c r="A38" s="39"/>
      <c r="B38" s="40"/>
      <c r="C38" s="40"/>
      <c r="D38" s="48">
        <f>SUM(B37:F37)</f>
        <v>78.249499999999998</v>
      </c>
      <c r="E38" s="40"/>
      <c r="F38" s="40"/>
      <c r="G38" s="119"/>
      <c r="H38" s="41"/>
    </row>
    <row r="39" spans="1:12" ht="13.5" thickBot="1" x14ac:dyDescent="0.25">
      <c r="B39" s="1"/>
      <c r="D39" s="30"/>
      <c r="E39" s="1"/>
      <c r="F39" s="1"/>
      <c r="G39" s="1"/>
      <c r="H39" s="1"/>
    </row>
    <row r="40" spans="1:12" x14ac:dyDescent="0.2">
      <c r="A40" s="63" t="s">
        <v>17</v>
      </c>
      <c r="B40" s="42">
        <v>0</v>
      </c>
      <c r="C40" s="43">
        <v>8.5000000000000006E-3</v>
      </c>
      <c r="D40" s="33"/>
      <c r="E40" s="43">
        <v>1.4999999999999999E-2</v>
      </c>
      <c r="F40" s="44">
        <v>8.9999999999999993E-3</v>
      </c>
      <c r="G40" s="44">
        <f>SUM(B40,E40)</f>
        <v>1.4999999999999999E-2</v>
      </c>
      <c r="H40" s="44">
        <f>SUM(C40,F40)</f>
        <v>1.7500000000000002E-2</v>
      </c>
    </row>
    <row r="41" spans="1:12" x14ac:dyDescent="0.2">
      <c r="A41" s="35" t="s">
        <v>22</v>
      </c>
      <c r="B41" s="31"/>
      <c r="C41" s="1">
        <f>IF(B27&lt;C1,0,B27-C1)</f>
        <v>371</v>
      </c>
      <c r="E41" s="1">
        <f>IF(B27&lt;C1,B27,C1)</f>
        <v>3129</v>
      </c>
      <c r="F41" s="36">
        <f>IF(B27&lt;C1,0,B27-C1)</f>
        <v>371</v>
      </c>
      <c r="G41" s="34"/>
      <c r="H41" s="34"/>
    </row>
    <row r="42" spans="1:12" ht="13.5" thickBot="1" x14ac:dyDescent="0.25">
      <c r="A42" s="37" t="s">
        <v>21</v>
      </c>
      <c r="B42" s="6"/>
      <c r="C42" s="6">
        <f>C41*C40</f>
        <v>3.1535000000000002</v>
      </c>
      <c r="D42" s="6"/>
      <c r="E42" s="6">
        <f>E41*E40</f>
        <v>46.934999999999995</v>
      </c>
      <c r="F42" s="38">
        <f>F41*F40</f>
        <v>3.339</v>
      </c>
      <c r="G42" s="38"/>
      <c r="H42" s="38"/>
    </row>
    <row r="43" spans="1:12" ht="13.5" thickBot="1" x14ac:dyDescent="0.25">
      <c r="A43" s="37" t="s">
        <v>26</v>
      </c>
      <c r="B43" s="388">
        <f>SUM(B42:C42)</f>
        <v>3.1535000000000002</v>
      </c>
      <c r="C43" s="389"/>
      <c r="E43" s="388">
        <f>SUM(E42:F42)</f>
        <v>50.273999999999994</v>
      </c>
      <c r="F43" s="389"/>
      <c r="G43" s="113"/>
      <c r="H43" s="113"/>
    </row>
    <row r="44" spans="1:12" ht="13.5" thickBot="1" x14ac:dyDescent="0.25">
      <c r="A44" s="39"/>
      <c r="B44" s="45"/>
      <c r="C44" s="40"/>
      <c r="D44" s="48">
        <f>SUM(B43:F43)</f>
        <v>53.427499999999995</v>
      </c>
      <c r="E44" s="46"/>
      <c r="F44" s="47"/>
      <c r="G44" s="47"/>
      <c r="H44" s="47"/>
    </row>
    <row r="49" spans="3:5" x14ac:dyDescent="0.2">
      <c r="C49" s="5"/>
      <c r="D49" s="73"/>
      <c r="E49" s="1"/>
    </row>
    <row r="50" spans="3:5" x14ac:dyDescent="0.2">
      <c r="C50" s="5"/>
      <c r="D50" s="5"/>
      <c r="E50" s="30"/>
    </row>
    <row r="51" spans="3:5" x14ac:dyDescent="0.2">
      <c r="D51" s="5"/>
      <c r="E51" s="30"/>
    </row>
  </sheetData>
  <mergeCells count="7">
    <mergeCell ref="B43:C43"/>
    <mergeCell ref="E43:F43"/>
    <mergeCell ref="G31:H31"/>
    <mergeCell ref="B32:C32"/>
    <mergeCell ref="E32:F32"/>
    <mergeCell ref="B37:C37"/>
    <mergeCell ref="E37:F37"/>
  </mergeCells>
  <conditionalFormatting sqref="E6 D24">
    <cfRule type="cellIs" dxfId="13" priority="1" stopIfTrue="1" operator="greaterThan">
      <formula>$D$5</formula>
    </cfRule>
  </conditionalFormatting>
  <printOptions horizontalCentered="1" headings="1" gridLines="1"/>
  <pageMargins left="0" right="0" top="0.98425196850393704" bottom="0.98425196850393704" header="0.51181102362204722" footer="0.51181102362204722"/>
  <pageSetup paperSize="9" scale="77" orientation="landscape" cellComments="asDisplayed" r:id="rId1"/>
  <headerFooter alignWithMargins="0">
    <oddHeader>&amp;C&amp;F / &amp;A</oddHeader>
    <oddFooter>&amp;C&amp;1#&amp;"Arial"&amp;7&amp;K7f7f7fGeneral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20"/>
  <sheetViews>
    <sheetView zoomScale="98" workbookViewId="0"/>
  </sheetViews>
  <sheetFormatPr baseColWidth="10" defaultColWidth="11.42578125" defaultRowHeight="12.75" x14ac:dyDescent="0.2"/>
  <cols>
    <col min="1" max="1" width="17.42578125" style="2" customWidth="1"/>
    <col min="2" max="2" width="15.7109375" style="4" customWidth="1"/>
    <col min="3" max="4" width="15.7109375" style="3" customWidth="1"/>
    <col min="5" max="5" width="14" style="2" bestFit="1" customWidth="1"/>
    <col min="6" max="6" width="13" style="2" customWidth="1"/>
    <col min="7" max="7" width="11.5703125" style="2" bestFit="1" customWidth="1"/>
    <col min="8" max="8" width="6.5703125" style="122" bestFit="1" customWidth="1"/>
    <col min="9" max="9" width="7.42578125" style="2" bestFit="1" customWidth="1"/>
    <col min="10" max="10" width="7.42578125" style="2" customWidth="1"/>
    <col min="11" max="11" width="7" style="123" bestFit="1" customWidth="1"/>
    <col min="12" max="12" width="6.42578125" style="123" bestFit="1" customWidth="1"/>
    <col min="13" max="14" width="6.42578125" style="2" bestFit="1" customWidth="1"/>
    <col min="15" max="15" width="8.7109375" style="2" bestFit="1" customWidth="1"/>
    <col min="16" max="20" width="6.42578125" style="2" bestFit="1" customWidth="1"/>
    <col min="21" max="21" width="9" style="2" bestFit="1" customWidth="1"/>
    <col min="22" max="27" width="7.140625" style="2" bestFit="1" customWidth="1"/>
    <col min="28" max="16384" width="11.42578125" style="2"/>
  </cols>
  <sheetData>
    <row r="1" spans="1:30" ht="13.5" thickBot="1" x14ac:dyDescent="0.25"/>
    <row r="2" spans="1:30" s="102" customFormat="1" ht="28.5" customHeight="1" thickBot="1" x14ac:dyDescent="0.25">
      <c r="A2" s="2"/>
      <c r="B2" s="138" t="s">
        <v>60</v>
      </c>
      <c r="C2" s="141"/>
      <c r="D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">
      <c r="H3" s="2"/>
      <c r="K3" s="2"/>
      <c r="L3" s="2"/>
    </row>
    <row r="4" spans="1:30" ht="13.5" thickBot="1" x14ac:dyDescent="0.25">
      <c r="H4" s="2"/>
      <c r="K4" s="2"/>
      <c r="L4" s="2"/>
    </row>
    <row r="5" spans="1:30" ht="29.25" customHeight="1" thickBot="1" x14ac:dyDescent="0.25">
      <c r="B5" s="138" t="s">
        <v>12</v>
      </c>
      <c r="C5" s="139"/>
      <c r="D5" s="140"/>
      <c r="H5" s="2"/>
      <c r="K5" s="122"/>
    </row>
    <row r="6" spans="1:30" x14ac:dyDescent="0.2">
      <c r="B6" s="2"/>
      <c r="C6" s="2"/>
      <c r="D6" s="2"/>
      <c r="H6" s="2"/>
    </row>
    <row r="7" spans="1:30" ht="7.5" customHeight="1" thickBot="1" x14ac:dyDescent="0.25">
      <c r="B7" s="2"/>
      <c r="C7" s="2"/>
      <c r="D7" s="2"/>
    </row>
    <row r="8" spans="1:30" ht="18.75" customHeight="1" thickBot="1" x14ac:dyDescent="0.25">
      <c r="B8" s="131" t="s">
        <v>0</v>
      </c>
      <c r="C8" s="133">
        <v>3170</v>
      </c>
      <c r="D8" s="132"/>
      <c r="E8" s="127"/>
      <c r="H8" s="2"/>
    </row>
    <row r="11" spans="1:30" ht="16.5" customHeight="1" x14ac:dyDescent="0.2">
      <c r="C11" s="99" t="s">
        <v>1</v>
      </c>
      <c r="D11" s="99" t="s">
        <v>5</v>
      </c>
    </row>
    <row r="12" spans="1:30" x14ac:dyDescent="0.2">
      <c r="A12" s="3"/>
      <c r="B12" s="124" t="s">
        <v>2</v>
      </c>
      <c r="C12" s="125">
        <v>3.3000000000000002E-2</v>
      </c>
      <c r="D12" s="134">
        <f>$C$8*C12</f>
        <v>104.61</v>
      </c>
      <c r="E12" s="3"/>
      <c r="F12" s="3"/>
      <c r="G12" s="3"/>
    </row>
    <row r="13" spans="1:30" x14ac:dyDescent="0.2">
      <c r="A13" s="127"/>
      <c r="D13" s="135"/>
      <c r="E13" s="127"/>
      <c r="F13" s="127"/>
      <c r="G13" s="127"/>
    </row>
    <row r="14" spans="1:30" x14ac:dyDescent="0.2">
      <c r="A14" s="127"/>
      <c r="B14" s="124" t="s">
        <v>3</v>
      </c>
      <c r="C14" s="126">
        <v>2.5499999999999998E-2</v>
      </c>
      <c r="D14" s="136">
        <f>$C$8*C14</f>
        <v>80.834999999999994</v>
      </c>
      <c r="E14" s="143"/>
      <c r="F14" s="127"/>
      <c r="G14" s="127"/>
    </row>
    <row r="15" spans="1:30" x14ac:dyDescent="0.2">
      <c r="B15" s="124" t="s">
        <v>4</v>
      </c>
      <c r="C15" s="125">
        <v>7.4999999999999997E-3</v>
      </c>
      <c r="D15" s="136">
        <f>$C$8*C15</f>
        <v>23.774999999999999</v>
      </c>
      <c r="E15" s="127"/>
      <c r="G15" s="130"/>
      <c r="H15" s="2"/>
    </row>
    <row r="16" spans="1:30" x14ac:dyDescent="0.2">
      <c r="D16" s="135"/>
    </row>
    <row r="17" spans="2:4" x14ac:dyDescent="0.2">
      <c r="D17" s="135"/>
    </row>
    <row r="18" spans="2:4" x14ac:dyDescent="0.2">
      <c r="C18" s="98" t="s">
        <v>6</v>
      </c>
      <c r="D18" s="137" t="s">
        <v>29</v>
      </c>
    </row>
    <row r="19" spans="2:4" x14ac:dyDescent="0.2">
      <c r="B19" s="128" t="s">
        <v>7</v>
      </c>
      <c r="C19" s="129">
        <v>3.7799999999999999E-3</v>
      </c>
      <c r="D19" s="137">
        <f>$C$8*C19</f>
        <v>11.9826</v>
      </c>
    </row>
    <row r="20" spans="2:4" x14ac:dyDescent="0.2">
      <c r="B20" s="128" t="s">
        <v>8</v>
      </c>
      <c r="C20" s="129">
        <v>1.47E-3</v>
      </c>
      <c r="D20" s="137">
        <f>$C$8*C20</f>
        <v>4.6598999999999995</v>
      </c>
    </row>
  </sheetData>
  <conditionalFormatting sqref="E8">
    <cfRule type="cellIs" dxfId="12" priority="1" stopIfTrue="1" operator="greaterThan">
      <formula>$D$12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portrait" cellComments="asDisplayed" r:id="rId1"/>
  <headerFooter alignWithMargins="0">
    <oddFooter>&amp;C&amp;1#&amp;"Arial"&amp;7&amp;K7f7f7fGeneral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0"/>
  <sheetViews>
    <sheetView zoomScale="98" workbookViewId="0"/>
  </sheetViews>
  <sheetFormatPr baseColWidth="10" defaultColWidth="11.42578125" defaultRowHeight="12.75" x14ac:dyDescent="0.2"/>
  <cols>
    <col min="1" max="1" width="17.42578125" style="2" customWidth="1"/>
    <col min="2" max="2" width="15.7109375" style="4" customWidth="1"/>
    <col min="3" max="4" width="15.7109375" style="3" customWidth="1"/>
    <col min="5" max="5" width="14" style="2" bestFit="1" customWidth="1"/>
    <col min="6" max="6" width="13" style="2" customWidth="1"/>
    <col min="7" max="7" width="11.5703125" style="2" bestFit="1" customWidth="1"/>
    <col min="8" max="8" width="6.5703125" style="122" bestFit="1" customWidth="1"/>
    <col min="9" max="9" width="7.42578125" style="2" bestFit="1" customWidth="1"/>
    <col min="10" max="10" width="7.42578125" style="2" customWidth="1"/>
    <col min="11" max="11" width="7" style="123" bestFit="1" customWidth="1"/>
    <col min="12" max="12" width="6.42578125" style="123" bestFit="1" customWidth="1"/>
    <col min="13" max="14" width="6.42578125" style="2" bestFit="1" customWidth="1"/>
    <col min="15" max="15" width="8.7109375" style="2" bestFit="1" customWidth="1"/>
    <col min="16" max="20" width="6.42578125" style="2" bestFit="1" customWidth="1"/>
    <col min="21" max="21" width="9" style="2" bestFit="1" customWidth="1"/>
    <col min="22" max="27" width="7.140625" style="2" bestFit="1" customWidth="1"/>
    <col min="28" max="16384" width="11.42578125" style="2"/>
  </cols>
  <sheetData>
    <row r="1" spans="1:30" ht="13.5" thickBot="1" x14ac:dyDescent="0.25"/>
    <row r="2" spans="1:30" s="102" customFormat="1" ht="28.5" customHeight="1" thickBot="1" x14ac:dyDescent="0.25">
      <c r="A2" s="2"/>
      <c r="B2" s="138" t="s">
        <v>62</v>
      </c>
      <c r="C2" s="141"/>
      <c r="D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">
      <c r="H3" s="2"/>
      <c r="K3" s="2"/>
      <c r="L3" s="2"/>
    </row>
    <row r="4" spans="1:30" ht="13.5" thickBot="1" x14ac:dyDescent="0.25">
      <c r="H4" s="2"/>
      <c r="K4" s="2"/>
      <c r="L4" s="2"/>
    </row>
    <row r="5" spans="1:30" ht="29.25" customHeight="1" thickBot="1" x14ac:dyDescent="0.25">
      <c r="B5" s="138" t="s">
        <v>12</v>
      </c>
      <c r="C5" s="139"/>
      <c r="D5" s="140"/>
      <c r="H5" s="2"/>
      <c r="K5" s="122"/>
    </row>
    <row r="6" spans="1:30" x14ac:dyDescent="0.2">
      <c r="B6" s="2"/>
      <c r="C6" s="2"/>
      <c r="D6" s="2"/>
      <c r="H6" s="2"/>
    </row>
    <row r="7" spans="1:30" ht="7.5" customHeight="1" thickBot="1" x14ac:dyDescent="0.25">
      <c r="B7" s="2"/>
      <c r="C7" s="2"/>
      <c r="D7" s="2"/>
    </row>
    <row r="8" spans="1:30" ht="18.75" customHeight="1" thickBot="1" x14ac:dyDescent="0.25">
      <c r="B8" s="131" t="s">
        <v>0</v>
      </c>
      <c r="C8" s="133">
        <v>3269</v>
      </c>
      <c r="D8" s="132"/>
      <c r="E8" s="127"/>
      <c r="H8" s="2"/>
    </row>
    <row r="11" spans="1:30" ht="16.5" customHeight="1" x14ac:dyDescent="0.2">
      <c r="C11" s="99" t="s">
        <v>1</v>
      </c>
      <c r="D11" s="99" t="s">
        <v>5</v>
      </c>
    </row>
    <row r="12" spans="1:30" x14ac:dyDescent="0.2">
      <c r="A12" s="3"/>
      <c r="B12" s="124" t="s">
        <v>2</v>
      </c>
      <c r="C12" s="125">
        <v>3.3000000000000002E-2</v>
      </c>
      <c r="D12" s="134">
        <f>$C$8*C12</f>
        <v>107.87700000000001</v>
      </c>
      <c r="E12" s="3"/>
      <c r="F12" s="3"/>
      <c r="G12" s="3"/>
    </row>
    <row r="13" spans="1:30" x14ac:dyDescent="0.2">
      <c r="A13" s="127"/>
      <c r="D13" s="135"/>
      <c r="E13" s="127"/>
      <c r="F13" s="127"/>
      <c r="G13" s="127"/>
    </row>
    <row r="14" spans="1:30" x14ac:dyDescent="0.2">
      <c r="A14" s="127"/>
      <c r="B14" s="124" t="s">
        <v>3</v>
      </c>
      <c r="C14" s="126">
        <v>2.53E-2</v>
      </c>
      <c r="D14" s="136">
        <f>$C$8*C14</f>
        <v>82.705699999999993</v>
      </c>
      <c r="E14" s="143"/>
      <c r="F14" s="127"/>
      <c r="G14" s="127"/>
    </row>
    <row r="15" spans="1:30" x14ac:dyDescent="0.2">
      <c r="B15" s="124" t="s">
        <v>4</v>
      </c>
      <c r="C15" s="125">
        <v>7.7000000000000002E-3</v>
      </c>
      <c r="D15" s="136">
        <f>$C$8*C15</f>
        <v>25.171300000000002</v>
      </c>
      <c r="E15" s="127"/>
      <c r="G15" s="130"/>
      <c r="H15" s="2"/>
    </row>
    <row r="16" spans="1:30" x14ac:dyDescent="0.2">
      <c r="D16" s="135"/>
    </row>
    <row r="17" spans="2:4" x14ac:dyDescent="0.2">
      <c r="D17" s="135"/>
    </row>
    <row r="18" spans="2:4" x14ac:dyDescent="0.2">
      <c r="C18" s="98" t="s">
        <v>6</v>
      </c>
      <c r="D18" s="137" t="s">
        <v>29</v>
      </c>
    </row>
    <row r="19" spans="2:4" x14ac:dyDescent="0.2">
      <c r="B19" s="128" t="s">
        <v>7</v>
      </c>
      <c r="C19" s="129">
        <v>3.8E-3</v>
      </c>
      <c r="D19" s="137">
        <f>$C$8*C19</f>
        <v>12.4222</v>
      </c>
    </row>
    <row r="20" spans="2:4" x14ac:dyDescent="0.2">
      <c r="B20" s="128" t="s">
        <v>8</v>
      </c>
      <c r="C20" s="129">
        <v>1.5E-3</v>
      </c>
      <c r="D20" s="137">
        <f>$C$8*C20</f>
        <v>4.9035000000000002</v>
      </c>
    </row>
  </sheetData>
  <conditionalFormatting sqref="E8">
    <cfRule type="cellIs" dxfId="11" priority="4" stopIfTrue="1" operator="greaterThan">
      <formula>$D$12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portrait" cellComments="asDisplayed" r:id="rId1"/>
  <headerFooter alignWithMargins="0">
    <oddFooter>&amp;C&amp;1#&amp;"Arial"&amp;7&amp;K7f7f7fGeneral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55"/>
  <sheetViews>
    <sheetView zoomScale="98" zoomScaleNormal="98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30.7109375" bestFit="1" customWidth="1"/>
    <col min="2" max="2" width="11.85546875" style="5" bestFit="1" customWidth="1"/>
    <col min="3" max="3" width="18.85546875" style="1" customWidth="1"/>
    <col min="4" max="4" width="13.5703125" style="1" bestFit="1" customWidth="1"/>
    <col min="5" max="5" width="11.140625" bestFit="1" customWidth="1"/>
    <col min="6" max="6" width="12.85546875" bestFit="1" customWidth="1"/>
    <col min="7" max="7" width="11.85546875" bestFit="1" customWidth="1"/>
    <col min="8" max="8" width="7.42578125" style="56" bestFit="1" customWidth="1"/>
    <col min="9" max="9" width="7.42578125" bestFit="1" customWidth="1"/>
    <col min="10" max="10" width="7.42578125" customWidth="1"/>
    <col min="11" max="11" width="7.140625" style="50" bestFit="1" customWidth="1"/>
    <col min="12" max="12" width="8.7109375" style="50" bestFit="1" customWidth="1"/>
    <col min="13" max="13" width="6.5703125" bestFit="1" customWidth="1"/>
    <col min="14" max="14" width="8.5703125" bestFit="1" customWidth="1"/>
    <col min="15" max="15" width="9.7109375" bestFit="1" customWidth="1"/>
    <col min="16" max="16" width="7.85546875" bestFit="1" customWidth="1"/>
    <col min="17" max="17" width="6.28515625" bestFit="1" customWidth="1"/>
    <col min="18" max="18" width="6.42578125" bestFit="1" customWidth="1"/>
    <col min="19" max="20" width="7" bestFit="1" customWidth="1"/>
    <col min="21" max="21" width="9" bestFit="1" customWidth="1"/>
    <col min="22" max="27" width="7.140625" bestFit="1" customWidth="1"/>
  </cols>
  <sheetData>
    <row r="1" spans="1:30" s="24" customFormat="1" ht="13.5" thickBot="1" x14ac:dyDescent="0.25">
      <c r="B1" s="23" t="s">
        <v>0</v>
      </c>
      <c r="C1" s="105">
        <v>3269</v>
      </c>
      <c r="D1" s="2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2">
      <c r="H2"/>
      <c r="J2" s="100">
        <v>2001</v>
      </c>
      <c r="K2" s="100">
        <v>2279</v>
      </c>
      <c r="L2" s="100"/>
    </row>
    <row r="3" spans="1:30" ht="15.75" x14ac:dyDescent="0.25">
      <c r="A3" s="22" t="s">
        <v>12</v>
      </c>
      <c r="H3"/>
      <c r="J3" s="100">
        <v>2002</v>
      </c>
      <c r="K3" s="100">
        <v>2352</v>
      </c>
      <c r="L3" s="101">
        <f t="shared" ref="L3:L9" si="0">SUM((K3/K2)-1)</f>
        <v>3.2031592803861253E-2</v>
      </c>
    </row>
    <row r="4" spans="1:30" x14ac:dyDescent="0.2">
      <c r="C4" s="15" t="s">
        <v>1</v>
      </c>
      <c r="D4" s="15" t="s">
        <v>5</v>
      </c>
      <c r="F4" s="163" t="s">
        <v>68</v>
      </c>
      <c r="G4" s="164">
        <v>0.14000000000000001</v>
      </c>
      <c r="H4" s="163" t="s">
        <v>69</v>
      </c>
      <c r="J4" s="100">
        <v>2003</v>
      </c>
      <c r="K4" s="100">
        <v>2432</v>
      </c>
      <c r="L4" s="101">
        <f t="shared" si="0"/>
        <v>3.4013605442176909E-2</v>
      </c>
    </row>
    <row r="5" spans="1:30" x14ac:dyDescent="0.2">
      <c r="A5" s="54">
        <f>SUM(A6:A7)</f>
        <v>1</v>
      </c>
      <c r="B5" s="16" t="s">
        <v>2</v>
      </c>
      <c r="C5" s="86">
        <v>3.3000000000000002E-2</v>
      </c>
      <c r="D5" s="87">
        <f>$C$1*C5</f>
        <v>107.87700000000001</v>
      </c>
      <c r="F5" s="165">
        <f>C5*$G$4+C5</f>
        <v>3.7620000000000001E-2</v>
      </c>
      <c r="G5" s="166">
        <f>$C$1*F5</f>
        <v>122.97978000000001</v>
      </c>
      <c r="H5" s="167">
        <f>G5-D5</f>
        <v>15.102779999999996</v>
      </c>
      <c r="J5" s="100">
        <v>2004</v>
      </c>
      <c r="K5" s="100">
        <v>2476</v>
      </c>
      <c r="L5" s="101">
        <f t="shared" si="0"/>
        <v>1.8092105263157965E-2</v>
      </c>
    </row>
    <row r="6" spans="1:30" x14ac:dyDescent="0.2">
      <c r="A6" s="107">
        <f>C6/C5</f>
        <v>0.76666666666666661</v>
      </c>
      <c r="B6" s="66" t="s">
        <v>3</v>
      </c>
      <c r="C6" s="67">
        <v>2.53E-2</v>
      </c>
      <c r="D6" s="68">
        <f>$C$1*C6</f>
        <v>82.705699999999993</v>
      </c>
      <c r="F6" s="165">
        <f>C6*$G$4+C6</f>
        <v>2.8842E-2</v>
      </c>
      <c r="G6" s="166">
        <f>$C$1*F6</f>
        <v>94.284497999999999</v>
      </c>
      <c r="H6" s="167">
        <f t="shared" ref="H6:H7" si="1">G6-D6</f>
        <v>11.578798000000006</v>
      </c>
      <c r="J6" s="100">
        <v>2005</v>
      </c>
      <c r="K6" s="100">
        <v>2516</v>
      </c>
      <c r="L6" s="101">
        <f t="shared" si="0"/>
        <v>1.6155088852988664E-2</v>
      </c>
      <c r="N6" s="6">
        <f>SUM(D6:D7)</f>
        <v>107.877</v>
      </c>
    </row>
    <row r="7" spans="1:30" x14ac:dyDescent="0.2">
      <c r="A7" s="107">
        <f>C7/C5</f>
        <v>0.23333333333333334</v>
      </c>
      <c r="B7" s="66" t="s">
        <v>4</v>
      </c>
      <c r="C7" s="69">
        <v>7.7000000000000002E-3</v>
      </c>
      <c r="D7" s="68">
        <f>$C$1*C7</f>
        <v>25.171300000000002</v>
      </c>
      <c r="F7" s="165">
        <f>C7*$G$4+C7</f>
        <v>8.7780000000000011E-3</v>
      </c>
      <c r="G7" s="166">
        <f>$C$1*F7</f>
        <v>28.695282000000002</v>
      </c>
      <c r="H7" s="167">
        <f t="shared" si="1"/>
        <v>3.5239820000000002</v>
      </c>
      <c r="J7" s="100">
        <v>2006</v>
      </c>
      <c r="K7" s="100">
        <v>2589</v>
      </c>
      <c r="L7" s="101">
        <f t="shared" si="0"/>
        <v>2.9014308426073221E-2</v>
      </c>
    </row>
    <row r="8" spans="1:30" ht="16.5" customHeight="1" x14ac:dyDescent="0.2">
      <c r="D8" s="6"/>
      <c r="J8" s="100">
        <v>2007</v>
      </c>
      <c r="K8" s="100">
        <v>2682</v>
      </c>
      <c r="L8" s="101">
        <f t="shared" si="0"/>
        <v>3.5921205098493614E-2</v>
      </c>
    </row>
    <row r="9" spans="1:30" ht="16.5" customHeight="1" x14ac:dyDescent="0.2">
      <c r="D9" s="6"/>
      <c r="J9" s="100">
        <v>2008</v>
      </c>
      <c r="K9" s="100">
        <v>2773</v>
      </c>
      <c r="L9" s="101">
        <f t="shared" si="0"/>
        <v>3.392990305741983E-2</v>
      </c>
    </row>
    <row r="10" spans="1:30" x14ac:dyDescent="0.2">
      <c r="A10" s="1" t="s">
        <v>56</v>
      </c>
      <c r="C10" s="19" t="s">
        <v>6</v>
      </c>
      <c r="D10" s="19" t="s">
        <v>29</v>
      </c>
      <c r="E10" s="95" t="s">
        <v>54</v>
      </c>
      <c r="F10" s="19" t="s">
        <v>30</v>
      </c>
      <c r="G10" s="95" t="s">
        <v>55</v>
      </c>
      <c r="J10" s="100">
        <v>2009</v>
      </c>
      <c r="K10" s="100">
        <v>2859</v>
      </c>
      <c r="L10" s="101">
        <f t="shared" ref="L10:L24" si="2">SUM((K10/K9)-1)</f>
        <v>3.101334294987379E-2</v>
      </c>
      <c r="P10" s="3"/>
      <c r="Q10" s="3"/>
      <c r="R10" s="3"/>
      <c r="S10" s="3"/>
      <c r="T10" s="3"/>
    </row>
    <row r="11" spans="1:30" x14ac:dyDescent="0.2">
      <c r="A11" s="151">
        <v>0</v>
      </c>
      <c r="B11" s="147" t="s">
        <v>7</v>
      </c>
      <c r="C11" s="148">
        <v>3.8E-3</v>
      </c>
      <c r="D11" s="149">
        <f>$C$1*C11</f>
        <v>12.4222</v>
      </c>
      <c r="E11" s="96">
        <f>D11*$A$11</f>
        <v>0</v>
      </c>
      <c r="F11" s="18">
        <f>D11*12</f>
        <v>149.06639999999999</v>
      </c>
      <c r="G11" s="96">
        <f>F11*A11</f>
        <v>0</v>
      </c>
      <c r="J11" s="100">
        <v>2010</v>
      </c>
      <c r="K11" s="100">
        <v>2885</v>
      </c>
      <c r="L11" s="101">
        <f t="shared" si="2"/>
        <v>9.0940888422526012E-3</v>
      </c>
      <c r="P11" s="127"/>
      <c r="Q11" s="157"/>
      <c r="R11" s="157"/>
      <c r="S11" s="157"/>
      <c r="T11" s="157"/>
    </row>
    <row r="12" spans="1:30" x14ac:dyDescent="0.2">
      <c r="A12" s="148">
        <v>0.97109999999999996</v>
      </c>
      <c r="B12" s="150" t="s">
        <v>58</v>
      </c>
      <c r="C12" s="148">
        <f>C11*A12</f>
        <v>3.6901799999999999E-3</v>
      </c>
      <c r="D12" s="149">
        <f t="shared" ref="D12:D13" si="3">$C$1*C12</f>
        <v>12.063198419999999</v>
      </c>
      <c r="E12" s="96">
        <f t="shared" ref="E12:E13" si="4">D12*$A$11</f>
        <v>0</v>
      </c>
      <c r="F12" s="18"/>
      <c r="G12" s="96"/>
      <c r="J12" s="100">
        <v>2011</v>
      </c>
      <c r="K12" s="100">
        <v>2946</v>
      </c>
      <c r="L12" s="101">
        <f t="shared" si="2"/>
        <v>2.1143847487001821E-2</v>
      </c>
      <c r="P12" s="4"/>
      <c r="Q12" s="158"/>
      <c r="R12" s="158"/>
      <c r="S12" s="158"/>
      <c r="T12" s="158"/>
    </row>
    <row r="13" spans="1:30" x14ac:dyDescent="0.2">
      <c r="A13" s="148">
        <v>2.8899999999999999E-2</v>
      </c>
      <c r="B13" s="150" t="s">
        <v>61</v>
      </c>
      <c r="C13" s="148">
        <f>C11*A13</f>
        <v>1.0981999999999999E-4</v>
      </c>
      <c r="D13" s="149">
        <f t="shared" si="3"/>
        <v>0.35900157999999999</v>
      </c>
      <c r="E13" s="96">
        <f t="shared" si="4"/>
        <v>0</v>
      </c>
      <c r="F13" s="18"/>
      <c r="G13" s="96"/>
      <c r="J13" s="100">
        <v>2012</v>
      </c>
      <c r="K13" s="100">
        <v>3031</v>
      </c>
      <c r="L13" s="101">
        <f t="shared" si="2"/>
        <v>2.8852681602172359E-2</v>
      </c>
      <c r="P13" s="3"/>
      <c r="Q13" s="158"/>
      <c r="R13" s="158"/>
      <c r="S13" s="158"/>
      <c r="T13" s="158"/>
    </row>
    <row r="14" spans="1:30" x14ac:dyDescent="0.2">
      <c r="A14" s="155">
        <v>0</v>
      </c>
      <c r="B14" s="152" t="s">
        <v>8</v>
      </c>
      <c r="C14" s="153">
        <v>1.5E-3</v>
      </c>
      <c r="D14" s="154">
        <f>$C$1*C14</f>
        <v>4.9035000000000002</v>
      </c>
      <c r="E14" s="96">
        <f>D14*$A$14</f>
        <v>0</v>
      </c>
      <c r="F14" s="18">
        <f>D14*12</f>
        <v>58.841999999999999</v>
      </c>
      <c r="G14" s="96">
        <f>F14*A14</f>
        <v>0</v>
      </c>
      <c r="J14" s="100">
        <v>2013</v>
      </c>
      <c r="K14" s="100">
        <v>3086</v>
      </c>
      <c r="L14" s="101">
        <f t="shared" si="2"/>
        <v>1.8145826459914138E-2</v>
      </c>
      <c r="P14" s="3"/>
      <c r="Q14" s="158"/>
      <c r="R14" s="158"/>
      <c r="S14" s="158"/>
      <c r="T14" s="158"/>
    </row>
    <row r="15" spans="1:30" x14ac:dyDescent="0.2">
      <c r="A15" s="153">
        <v>0.96</v>
      </c>
      <c r="B15" s="156" t="s">
        <v>58</v>
      </c>
      <c r="C15" s="153">
        <f>C14*A15</f>
        <v>1.4399999999999999E-3</v>
      </c>
      <c r="D15" s="154">
        <f t="shared" ref="D15:D16" si="5">$C$1*C15</f>
        <v>4.7073599999999995</v>
      </c>
      <c r="E15" s="96">
        <f t="shared" ref="E15:E16" si="6">D15*$A$14</f>
        <v>0</v>
      </c>
      <c r="F15" s="18"/>
      <c r="G15" s="96"/>
      <c r="J15" s="100">
        <v>2014</v>
      </c>
      <c r="K15" s="100">
        <v>3129</v>
      </c>
      <c r="L15" s="101">
        <f t="shared" si="2"/>
        <v>1.393389500972142E-2</v>
      </c>
      <c r="P15" s="3"/>
      <c r="Q15" s="3"/>
      <c r="R15" s="3"/>
      <c r="S15" s="3"/>
      <c r="T15" s="3"/>
    </row>
    <row r="16" spans="1:30" x14ac:dyDescent="0.2">
      <c r="A16" s="153">
        <v>0.04</v>
      </c>
      <c r="B16" s="156" t="s">
        <v>61</v>
      </c>
      <c r="C16" s="153">
        <f>C14*A16</f>
        <v>6.0000000000000002E-5</v>
      </c>
      <c r="D16" s="154">
        <f t="shared" si="5"/>
        <v>0.19614000000000001</v>
      </c>
      <c r="E16" s="96">
        <f t="shared" si="6"/>
        <v>0</v>
      </c>
      <c r="F16" s="18"/>
      <c r="G16" s="96"/>
      <c r="J16" s="100">
        <v>2015</v>
      </c>
      <c r="K16" s="100">
        <v>3170</v>
      </c>
      <c r="L16" s="101">
        <f t="shared" si="2"/>
        <v>1.3103227868328515E-2</v>
      </c>
      <c r="O16" s="4"/>
      <c r="P16" s="3"/>
      <c r="Q16" s="157"/>
      <c r="R16" s="157"/>
      <c r="S16" s="157"/>
      <c r="T16" s="157"/>
    </row>
    <row r="17" spans="1:20" x14ac:dyDescent="0.2">
      <c r="E17" s="96">
        <f>SUM(E11,E14)</f>
        <v>0</v>
      </c>
      <c r="G17" s="96">
        <f>SUM(G11,G14)</f>
        <v>0</v>
      </c>
      <c r="H17"/>
      <c r="J17" s="100">
        <v>2016</v>
      </c>
      <c r="K17" s="100">
        <v>3218</v>
      </c>
      <c r="L17" s="101">
        <f t="shared" si="2"/>
        <v>1.5141955835962229E-2</v>
      </c>
      <c r="P17" s="4"/>
      <c r="Q17" s="158"/>
      <c r="R17" s="158"/>
      <c r="T17" s="158"/>
    </row>
    <row r="18" spans="1:20" x14ac:dyDescent="0.2">
      <c r="B18" s="57"/>
      <c r="C18" s="58"/>
      <c r="D18" s="58"/>
      <c r="E18" s="58"/>
      <c r="F18" s="59"/>
      <c r="J18" s="160">
        <v>2017</v>
      </c>
      <c r="K18" s="160">
        <v>3269</v>
      </c>
      <c r="L18" s="161">
        <f t="shared" si="2"/>
        <v>1.5848353014294547E-2</v>
      </c>
      <c r="P18" s="3"/>
      <c r="Q18" s="6"/>
      <c r="R18" s="6"/>
    </row>
    <row r="19" spans="1:20" x14ac:dyDescent="0.2">
      <c r="G19" s="50"/>
      <c r="H19" s="50"/>
      <c r="J19" s="100">
        <v>2018</v>
      </c>
      <c r="K19" s="100"/>
      <c r="L19" s="101">
        <f t="shared" si="2"/>
        <v>-1</v>
      </c>
      <c r="O19" s="4"/>
      <c r="P19" s="3"/>
      <c r="Q19" s="127"/>
      <c r="R19" s="127"/>
      <c r="S19" s="127"/>
      <c r="T19" s="127"/>
    </row>
    <row r="20" spans="1:20" x14ac:dyDescent="0.2">
      <c r="G20" s="50"/>
      <c r="H20" s="50"/>
      <c r="J20" s="100">
        <v>2019</v>
      </c>
      <c r="K20" s="100"/>
      <c r="L20" s="101" t="e">
        <f t="shared" si="2"/>
        <v>#DIV/0!</v>
      </c>
      <c r="P20" s="4"/>
      <c r="Q20" s="158"/>
      <c r="R20" s="158"/>
      <c r="S20" s="159"/>
      <c r="T20" s="158"/>
    </row>
    <row r="21" spans="1:20" x14ac:dyDescent="0.2">
      <c r="G21" s="50"/>
      <c r="H21" s="50"/>
      <c r="J21" s="100">
        <v>2020</v>
      </c>
      <c r="K21" s="100"/>
      <c r="L21" s="101" t="e">
        <f t="shared" si="2"/>
        <v>#DIV/0!</v>
      </c>
      <c r="Q21" s="127"/>
      <c r="R21" s="127"/>
      <c r="S21" s="127"/>
      <c r="T21" s="127"/>
    </row>
    <row r="22" spans="1:20" x14ac:dyDescent="0.2">
      <c r="G22" s="50"/>
      <c r="H22" s="50"/>
      <c r="J22" s="100">
        <v>2021</v>
      </c>
      <c r="K22" s="100"/>
      <c r="L22" s="101" t="e">
        <f t="shared" si="2"/>
        <v>#DIV/0!</v>
      </c>
    </row>
    <row r="23" spans="1:20" ht="15.75" customHeight="1" thickBot="1" x14ac:dyDescent="0.25">
      <c r="C23" s="8">
        <v>2.3630000000000002E-2</v>
      </c>
      <c r="D23" s="7"/>
      <c r="G23" s="5"/>
      <c r="H23" s="109"/>
      <c r="J23" s="100">
        <v>2022</v>
      </c>
      <c r="K23" s="100"/>
      <c r="L23" s="101" t="e">
        <f t="shared" si="2"/>
        <v>#DIV/0!</v>
      </c>
    </row>
    <row r="24" spans="1:20" ht="13.5" thickBot="1" x14ac:dyDescent="0.25">
      <c r="B24" s="20" t="s">
        <v>10</v>
      </c>
      <c r="C24" s="14"/>
      <c r="D24" s="104">
        <v>3330</v>
      </c>
      <c r="G24" s="5"/>
      <c r="H24" s="111"/>
      <c r="J24" s="100">
        <v>2023</v>
      </c>
      <c r="K24" s="100"/>
      <c r="L24" s="101" t="e">
        <f t="shared" si="2"/>
        <v>#DIV/0!</v>
      </c>
    </row>
    <row r="25" spans="1:20" ht="13.5" thickBot="1" x14ac:dyDescent="0.25">
      <c r="B25" s="9"/>
      <c r="C25" s="10" t="s">
        <v>11</v>
      </c>
      <c r="D25" s="11">
        <v>3</v>
      </c>
      <c r="G25" s="94"/>
      <c r="H25" s="109"/>
      <c r="K25"/>
      <c r="L25"/>
    </row>
    <row r="26" spans="1:20" ht="13.5" thickBot="1" x14ac:dyDescent="0.25">
      <c r="C26" s="12" t="s">
        <v>39</v>
      </c>
      <c r="D26" s="13">
        <f>IF(D24&lt;C1,D24*C23,D6-D25)</f>
        <v>79.705699999999993</v>
      </c>
      <c r="G26" s="56"/>
      <c r="H26"/>
      <c r="K26"/>
      <c r="L26"/>
    </row>
    <row r="27" spans="1:20" x14ac:dyDescent="0.2">
      <c r="C27" s="74" t="s">
        <v>9</v>
      </c>
      <c r="D27" s="75">
        <f>IF(D24&lt;C1,D6-D26,3)</f>
        <v>3</v>
      </c>
      <c r="G27" s="94"/>
      <c r="H27" s="109"/>
    </row>
    <row r="28" spans="1:20" x14ac:dyDescent="0.2">
      <c r="C28" s="76" t="s">
        <v>47</v>
      </c>
      <c r="D28" s="77">
        <f>SUM(D7,D26,D27)</f>
        <v>107.877</v>
      </c>
    </row>
    <row r="29" spans="1:20" x14ac:dyDescent="0.2">
      <c r="D29" s="6"/>
      <c r="K29"/>
      <c r="L29"/>
    </row>
    <row r="30" spans="1:20" ht="16.5" thickBot="1" x14ac:dyDescent="0.3">
      <c r="A30" s="22" t="s">
        <v>13</v>
      </c>
    </row>
    <row r="31" spans="1:20" ht="15.75" customHeight="1" thickBot="1" x14ac:dyDescent="0.25">
      <c r="A31" s="20" t="s">
        <v>20</v>
      </c>
      <c r="B31" s="121">
        <v>3269</v>
      </c>
      <c r="C31"/>
    </row>
    <row r="32" spans="1:20" s="29" customFormat="1" x14ac:dyDescent="0.2">
      <c r="A32" s="27"/>
      <c r="B32" s="28"/>
      <c r="D32" s="28"/>
      <c r="H32" s="56"/>
    </row>
    <row r="33" spans="1:8" s="29" customFormat="1" x14ac:dyDescent="0.2">
      <c r="A33" s="49" t="s">
        <v>24</v>
      </c>
      <c r="B33" s="27" t="s">
        <v>27</v>
      </c>
      <c r="D33" s="28"/>
      <c r="H33" s="56"/>
    </row>
    <row r="34" spans="1:8" s="29" customFormat="1" ht="13.5" thickBot="1" x14ac:dyDescent="0.25">
      <c r="A34" s="49" t="s">
        <v>25</v>
      </c>
      <c r="B34" s="27" t="s">
        <v>28</v>
      </c>
      <c r="D34" s="28"/>
      <c r="H34" s="56"/>
    </row>
    <row r="35" spans="1:8" s="29" customFormat="1" ht="13.5" thickBot="1" x14ac:dyDescent="0.25">
      <c r="A35" s="27"/>
      <c r="B35" s="28"/>
      <c r="D35" s="28"/>
      <c r="G35" s="393" t="s">
        <v>57</v>
      </c>
      <c r="H35" s="394"/>
    </row>
    <row r="36" spans="1:8" ht="13.5" thickBot="1" x14ac:dyDescent="0.25">
      <c r="B36" s="391" t="s">
        <v>19</v>
      </c>
      <c r="C36" s="392"/>
      <c r="E36" s="391" t="s">
        <v>18</v>
      </c>
      <c r="F36" s="395"/>
      <c r="G36" s="115" t="s">
        <v>58</v>
      </c>
      <c r="H36" s="114" t="s">
        <v>59</v>
      </c>
    </row>
    <row r="37" spans="1:8" s="1" customFormat="1" ht="13.5" thickBot="1" x14ac:dyDescent="0.25">
      <c r="A37" s="32"/>
      <c r="B37" s="60" t="s">
        <v>14</v>
      </c>
      <c r="C37" s="60" t="s">
        <v>23</v>
      </c>
      <c r="D37" s="33"/>
      <c r="E37" s="60" t="s">
        <v>14</v>
      </c>
      <c r="F37" s="112" t="s">
        <v>15</v>
      </c>
      <c r="G37" s="116" t="s">
        <v>14</v>
      </c>
      <c r="H37" s="61" t="s">
        <v>15</v>
      </c>
    </row>
    <row r="38" spans="1:8" x14ac:dyDescent="0.2">
      <c r="A38" s="62" t="s">
        <v>16</v>
      </c>
      <c r="B38" s="8">
        <v>6.2399999999999999E-3</v>
      </c>
      <c r="C38" s="8">
        <v>8.1399999999999997E-3</v>
      </c>
      <c r="E38" s="8">
        <v>8.1200000000000005E-3</v>
      </c>
      <c r="F38" s="8">
        <v>8.6199999999999992E-3</v>
      </c>
      <c r="G38" s="146">
        <f>SUM(B38,E38)</f>
        <v>1.4360000000000001E-2</v>
      </c>
      <c r="H38" s="145">
        <f>SUM(C38,F38)</f>
        <v>1.6759999999999997E-2</v>
      </c>
    </row>
    <row r="39" spans="1:8" x14ac:dyDescent="0.2">
      <c r="A39" s="35" t="s">
        <v>22</v>
      </c>
      <c r="B39" s="1">
        <f>IF(B31&lt;C1,B31,C1)</f>
        <v>3269</v>
      </c>
      <c r="C39" s="1">
        <f>IF(B31&lt;C1,0,B31-C1)</f>
        <v>0</v>
      </c>
      <c r="E39" s="1">
        <f>IF(B31&lt;C1,B31,C1)</f>
        <v>3269</v>
      </c>
      <c r="F39" s="1">
        <f>IF(B31&lt;C1,0,B31-C1)</f>
        <v>0</v>
      </c>
      <c r="G39" s="117"/>
      <c r="H39" s="36"/>
    </row>
    <row r="40" spans="1:8" ht="13.5" thickBot="1" x14ac:dyDescent="0.25">
      <c r="A40" s="37" t="s">
        <v>21</v>
      </c>
      <c r="B40" s="6">
        <f>$B$39*B38</f>
        <v>20.39856</v>
      </c>
      <c r="C40" s="6">
        <f>C39*C38</f>
        <v>0</v>
      </c>
      <c r="D40" s="6"/>
      <c r="E40" s="6">
        <f>$E$39*E38</f>
        <v>26.544280000000001</v>
      </c>
      <c r="F40" s="6">
        <f>$E$39*F38</f>
        <v>28.178779999999996</v>
      </c>
      <c r="G40" s="118"/>
      <c r="H40" s="38"/>
    </row>
    <row r="41" spans="1:8" ht="13.5" thickBot="1" x14ac:dyDescent="0.25">
      <c r="A41" s="37" t="s">
        <v>26</v>
      </c>
      <c r="B41" s="388">
        <f>SUM(B40:C40)</f>
        <v>20.39856</v>
      </c>
      <c r="C41" s="389"/>
      <c r="D41" s="6"/>
      <c r="E41" s="388">
        <f>SUM(E40:F40)</f>
        <v>54.723059999999997</v>
      </c>
      <c r="F41" s="396"/>
      <c r="G41" s="113"/>
      <c r="H41" s="113"/>
    </row>
    <row r="42" spans="1:8" ht="13.5" thickBot="1" x14ac:dyDescent="0.25">
      <c r="A42" s="39"/>
      <c r="B42" s="40"/>
      <c r="C42" s="40"/>
      <c r="D42" s="48">
        <f>SUM(B41:F41)</f>
        <v>75.121619999999993</v>
      </c>
      <c r="E42" s="40"/>
      <c r="F42" s="40"/>
      <c r="G42" s="119"/>
      <c r="H42" s="41"/>
    </row>
    <row r="43" spans="1:8" ht="13.5" thickBot="1" x14ac:dyDescent="0.25">
      <c r="B43" s="1"/>
      <c r="D43" s="30"/>
      <c r="E43" s="1"/>
      <c r="F43" s="1"/>
      <c r="G43" s="1"/>
      <c r="H43" s="1"/>
    </row>
    <row r="44" spans="1:8" x14ac:dyDescent="0.2">
      <c r="A44" s="63" t="s">
        <v>17</v>
      </c>
      <c r="B44" s="42">
        <v>0</v>
      </c>
      <c r="C44" s="144">
        <v>8.1399999999999997E-3</v>
      </c>
      <c r="D44" s="33"/>
      <c r="E44" s="144">
        <v>1.436E-2</v>
      </c>
      <c r="F44" s="145">
        <v>8.6199999999999992E-3</v>
      </c>
      <c r="G44" s="145">
        <f>SUM(B44,E44)</f>
        <v>1.436E-2</v>
      </c>
      <c r="H44" s="145">
        <f>SUM(C44,F44)</f>
        <v>1.6759999999999997E-2</v>
      </c>
    </row>
    <row r="45" spans="1:8" x14ac:dyDescent="0.2">
      <c r="A45" s="35" t="s">
        <v>22</v>
      </c>
      <c r="B45" s="31"/>
      <c r="C45" s="1">
        <f>IF(B31&lt;C1,0,B31-C1)</f>
        <v>0</v>
      </c>
      <c r="E45" s="1">
        <f>IF(B31&lt;C1,B31,C1)</f>
        <v>3269</v>
      </c>
      <c r="F45" s="36">
        <f>IF(B31&lt;C1,0,B31-C1)</f>
        <v>0</v>
      </c>
      <c r="G45" s="34"/>
      <c r="H45" s="34"/>
    </row>
    <row r="46" spans="1:8" ht="13.5" thickBot="1" x14ac:dyDescent="0.25">
      <c r="A46" s="37" t="s">
        <v>21</v>
      </c>
      <c r="B46" s="6"/>
      <c r="C46" s="6">
        <f>C45*C44</f>
        <v>0</v>
      </c>
      <c r="D46" s="6"/>
      <c r="E46" s="6">
        <f>E45*E44</f>
        <v>46.942839999999997</v>
      </c>
      <c r="F46" s="38">
        <f>F45*F44</f>
        <v>0</v>
      </c>
      <c r="G46" s="38"/>
      <c r="H46" s="38"/>
    </row>
    <row r="47" spans="1:8" ht="13.5" thickBot="1" x14ac:dyDescent="0.25">
      <c r="A47" s="37" t="s">
        <v>26</v>
      </c>
      <c r="B47" s="388">
        <f>SUM(B46:C46)</f>
        <v>0</v>
      </c>
      <c r="C47" s="389"/>
      <c r="E47" s="388">
        <f>SUM(E46:F46)</f>
        <v>46.942839999999997</v>
      </c>
      <c r="F47" s="389"/>
      <c r="G47" s="113"/>
      <c r="H47" s="113"/>
    </row>
    <row r="48" spans="1:8" ht="13.5" thickBot="1" x14ac:dyDescent="0.25">
      <c r="A48" s="39"/>
      <c r="B48" s="45"/>
      <c r="C48" s="40"/>
      <c r="D48" s="48">
        <f>SUM(B47:F47)</f>
        <v>46.942839999999997</v>
      </c>
      <c r="E48" s="46"/>
      <c r="F48" s="47"/>
      <c r="G48" s="47"/>
      <c r="H48" s="47"/>
    </row>
    <row r="53" spans="3:5" x14ac:dyDescent="0.2">
      <c r="C53" s="5"/>
      <c r="D53" s="73"/>
      <c r="E53" s="1"/>
    </row>
    <row r="54" spans="3:5" x14ac:dyDescent="0.2">
      <c r="C54" s="5"/>
      <c r="D54" s="5"/>
      <c r="E54" s="30"/>
    </row>
    <row r="55" spans="3:5" x14ac:dyDescent="0.2">
      <c r="D55" s="5"/>
      <c r="E55" s="30"/>
    </row>
  </sheetData>
  <mergeCells count="7">
    <mergeCell ref="B47:C47"/>
    <mergeCell ref="E47:F47"/>
    <mergeCell ref="G35:H35"/>
    <mergeCell ref="B36:C36"/>
    <mergeCell ref="E36:F36"/>
    <mergeCell ref="B41:C41"/>
    <mergeCell ref="E41:F41"/>
  </mergeCells>
  <conditionalFormatting sqref="D28">
    <cfRule type="cellIs" dxfId="10" priority="1" operator="notEqual">
      <formula>$D$5</formula>
    </cfRule>
  </conditionalFormatting>
  <conditionalFormatting sqref="N6 D28">
    <cfRule type="cellIs" dxfId="9" priority="3" stopIfTrue="1" operator="greaterThan">
      <formula>$D$5</formula>
    </cfRule>
  </conditionalFormatting>
  <conditionalFormatting sqref="N6">
    <cfRule type="cellIs" dxfId="8" priority="2" operator="notEqual">
      <formula>$D$5</formula>
    </cfRule>
  </conditionalFormatting>
  <printOptions horizontalCentered="1" headings="1" gridLines="1"/>
  <pageMargins left="0" right="0" top="0.39370078740157483" bottom="0" header="0.11811023622047245" footer="0.51181102362204722"/>
  <pageSetup paperSize="9" scale="86" orientation="landscape" cellComments="asDisplayed" r:id="rId1"/>
  <headerFooter alignWithMargins="0">
    <oddHeader>&amp;C&amp;F / &amp;A</oddHeader>
    <oddFooter>&amp;C&amp;1#&amp;"Arial"&amp;7&amp;K7f7f7fGeneral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51"/>
  <sheetViews>
    <sheetView zoomScale="98" zoomScaleNormal="98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2" width="11.85546875" style="5" customWidth="1"/>
    <col min="3" max="3" width="18.85546875" style="1" customWidth="1"/>
    <col min="4" max="4" width="13.5703125" style="1" customWidth="1"/>
    <col min="5" max="5" width="11.140625" customWidth="1"/>
    <col min="6" max="6" width="12.85546875" customWidth="1"/>
    <col min="7" max="7" width="11.85546875" customWidth="1"/>
    <col min="8" max="8" width="7.42578125" style="56" customWidth="1"/>
    <col min="9" max="9" width="7.7109375" bestFit="1" customWidth="1"/>
    <col min="10" max="10" width="7.42578125" customWidth="1"/>
    <col min="11" max="11" width="7.140625" style="50" customWidth="1"/>
    <col min="12" max="12" width="8.7109375" style="50" customWidth="1"/>
    <col min="13" max="13" width="6.5703125" customWidth="1"/>
    <col min="14" max="14" width="8.5703125" customWidth="1"/>
    <col min="15" max="15" width="9.7109375" customWidth="1"/>
    <col min="16" max="16" width="7.85546875" customWidth="1"/>
    <col min="17" max="17" width="6.28515625" customWidth="1"/>
    <col min="18" max="18" width="6.42578125" customWidth="1"/>
    <col min="19" max="20" width="7" customWidth="1"/>
    <col min="21" max="21" width="9" customWidth="1"/>
    <col min="22" max="27" width="7.140625" customWidth="1"/>
  </cols>
  <sheetData>
    <row r="1" spans="1:30" s="24" customFormat="1" ht="13.5" thickBot="1" x14ac:dyDescent="0.25">
      <c r="B1" s="23" t="s">
        <v>0</v>
      </c>
      <c r="C1" s="105">
        <v>3311</v>
      </c>
      <c r="D1" s="26"/>
      <c r="F1"/>
      <c r="G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2">
      <c r="I2" s="100">
        <v>2001</v>
      </c>
      <c r="J2" s="100">
        <v>2279</v>
      </c>
      <c r="K2" s="100"/>
    </row>
    <row r="3" spans="1:30" ht="15.75" x14ac:dyDescent="0.25">
      <c r="A3" s="22" t="s">
        <v>12</v>
      </c>
      <c r="I3" s="100">
        <v>2002</v>
      </c>
      <c r="J3" s="100">
        <v>2352</v>
      </c>
      <c r="K3" s="101">
        <f t="shared" ref="K3:K9" si="0">SUM((J3/J2)-1)</f>
        <v>3.2031592803861253E-2</v>
      </c>
    </row>
    <row r="4" spans="1:30" x14ac:dyDescent="0.2">
      <c r="C4" s="15" t="s">
        <v>1</v>
      </c>
      <c r="D4" s="15" t="s">
        <v>5</v>
      </c>
      <c r="F4" s="198" t="s">
        <v>84</v>
      </c>
      <c r="I4" s="100">
        <v>2003</v>
      </c>
      <c r="J4" s="100">
        <v>2432</v>
      </c>
      <c r="K4" s="101">
        <f t="shared" si="0"/>
        <v>3.4013605442176909E-2</v>
      </c>
    </row>
    <row r="5" spans="1:30" x14ac:dyDescent="0.2">
      <c r="A5" s="54">
        <f>SUM(A6:A7)</f>
        <v>0.99946836788942051</v>
      </c>
      <c r="B5" s="16" t="s">
        <v>2</v>
      </c>
      <c r="C5" s="86">
        <v>3.7620000000000001E-2</v>
      </c>
      <c r="D5" s="87">
        <f>$C$1*C5</f>
        <v>124.55982</v>
      </c>
      <c r="F5" s="167">
        <f>'GRAS SAVOYE 2015'!H5</f>
        <v>15.102779999999996</v>
      </c>
      <c r="I5" s="100">
        <v>2004</v>
      </c>
      <c r="J5" s="100">
        <v>2476</v>
      </c>
      <c r="K5" s="101">
        <f t="shared" si="0"/>
        <v>1.8092105263157965E-2</v>
      </c>
    </row>
    <row r="6" spans="1:30" x14ac:dyDescent="0.2">
      <c r="A6" s="107">
        <f>C6/C5</f>
        <v>0.76555023923444976</v>
      </c>
      <c r="B6" s="66" t="s">
        <v>3</v>
      </c>
      <c r="C6" s="67">
        <v>2.8799999999999999E-2</v>
      </c>
      <c r="D6" s="68">
        <f>$C$1*C6</f>
        <v>95.356799999999993</v>
      </c>
      <c r="F6" s="167">
        <f>'GRAS SAVOYE 2015'!H6</f>
        <v>11.578798000000006</v>
      </c>
      <c r="I6" s="100">
        <v>2005</v>
      </c>
      <c r="J6" s="100">
        <v>2516</v>
      </c>
      <c r="K6" s="101">
        <f t="shared" si="0"/>
        <v>1.6155088852988664E-2</v>
      </c>
    </row>
    <row r="7" spans="1:30" x14ac:dyDescent="0.2">
      <c r="A7" s="107">
        <f>C7/C5</f>
        <v>0.23391812865497078</v>
      </c>
      <c r="B7" s="66" t="s">
        <v>4</v>
      </c>
      <c r="C7" s="69">
        <v>8.8000000000000005E-3</v>
      </c>
      <c r="D7" s="68">
        <f>$C$1*C7</f>
        <v>29.136800000000001</v>
      </c>
      <c r="F7" s="167">
        <f>'GRAS SAVOYE 2015'!H7</f>
        <v>3.5239820000000002</v>
      </c>
      <c r="I7" s="100">
        <v>2006</v>
      </c>
      <c r="J7" s="100">
        <v>2589</v>
      </c>
      <c r="K7" s="101">
        <f t="shared" si="0"/>
        <v>2.9014308426073221E-2</v>
      </c>
    </row>
    <row r="8" spans="1:30" ht="16.5" customHeight="1" x14ac:dyDescent="0.2">
      <c r="D8" s="6"/>
      <c r="I8" s="100">
        <v>2007</v>
      </c>
      <c r="J8" s="100">
        <v>2682</v>
      </c>
      <c r="K8" s="101">
        <f t="shared" si="0"/>
        <v>3.5921205098493614E-2</v>
      </c>
    </row>
    <row r="9" spans="1:30" ht="16.5" customHeight="1" x14ac:dyDescent="0.2">
      <c r="D9" s="6"/>
      <c r="I9" s="100">
        <v>2008</v>
      </c>
      <c r="J9" s="100">
        <v>2773</v>
      </c>
      <c r="K9" s="101">
        <f t="shared" si="0"/>
        <v>3.392990305741983E-2</v>
      </c>
    </row>
    <row r="10" spans="1:30" x14ac:dyDescent="0.2">
      <c r="A10" s="1" t="s">
        <v>56</v>
      </c>
      <c r="C10" s="19" t="s">
        <v>6</v>
      </c>
      <c r="D10" s="19" t="s">
        <v>29</v>
      </c>
      <c r="E10" s="1"/>
      <c r="F10" s="1"/>
      <c r="I10" s="100">
        <v>2009</v>
      </c>
      <c r="J10" s="100">
        <v>2859</v>
      </c>
      <c r="K10" s="101">
        <f t="shared" ref="K10:K24" si="1">SUM((J10/J9)-1)</f>
        <v>3.101334294987379E-2</v>
      </c>
      <c r="P10" s="3"/>
      <c r="Q10" s="3"/>
      <c r="R10" s="3"/>
      <c r="S10" s="3"/>
      <c r="T10" s="3"/>
    </row>
    <row r="11" spans="1:30" x14ac:dyDescent="0.2">
      <c r="A11" s="151">
        <v>1</v>
      </c>
      <c r="B11" s="147" t="s">
        <v>7</v>
      </c>
      <c r="C11" s="196">
        <v>4.3331999999999997E-3</v>
      </c>
      <c r="D11" s="149">
        <f>$C$1*C11</f>
        <v>14.347225199999999</v>
      </c>
      <c r="E11" s="6"/>
      <c r="F11" s="31"/>
      <c r="I11" s="100">
        <v>2010</v>
      </c>
      <c r="J11" s="100">
        <v>2885</v>
      </c>
      <c r="K11" s="101">
        <f t="shared" si="1"/>
        <v>9.0940888422526012E-3</v>
      </c>
      <c r="P11" s="127"/>
      <c r="Q11" s="157"/>
      <c r="R11" s="157"/>
      <c r="S11" s="157"/>
      <c r="T11" s="157"/>
    </row>
    <row r="12" spans="1:30" x14ac:dyDescent="0.2">
      <c r="A12" s="196">
        <v>0.97109999999999996</v>
      </c>
      <c r="B12" s="150" t="s">
        <v>58</v>
      </c>
      <c r="C12" s="196">
        <f>C11*A12</f>
        <v>4.2079705199999998E-3</v>
      </c>
      <c r="D12" s="149">
        <f t="shared" ref="D12:D13" si="2">$C$1*C12</f>
        <v>13.93259039172</v>
      </c>
      <c r="E12" s="6"/>
      <c r="F12" s="6"/>
      <c r="I12" s="100">
        <v>2011</v>
      </c>
      <c r="J12" s="100">
        <v>2946</v>
      </c>
      <c r="K12" s="101">
        <f t="shared" si="1"/>
        <v>2.1143847487001821E-2</v>
      </c>
      <c r="P12" s="4"/>
      <c r="Q12" s="158"/>
      <c r="R12" s="158"/>
      <c r="S12" s="158"/>
      <c r="T12" s="158"/>
    </row>
    <row r="13" spans="1:30" x14ac:dyDescent="0.2">
      <c r="A13" s="196">
        <v>2.8899999999999999E-2</v>
      </c>
      <c r="B13" s="150" t="s">
        <v>61</v>
      </c>
      <c r="C13" s="196">
        <f>C11*A13</f>
        <v>1.2522947999999998E-4</v>
      </c>
      <c r="D13" s="149">
        <f t="shared" si="2"/>
        <v>0.41463480827999993</v>
      </c>
      <c r="E13" s="6"/>
      <c r="F13" s="6"/>
      <c r="I13" s="100">
        <v>2012</v>
      </c>
      <c r="J13" s="100">
        <v>3031</v>
      </c>
      <c r="K13" s="101">
        <f t="shared" si="1"/>
        <v>2.8852681602172359E-2</v>
      </c>
      <c r="P13" s="3"/>
      <c r="Q13" s="158"/>
      <c r="R13" s="158"/>
      <c r="S13" s="158"/>
      <c r="T13" s="158"/>
    </row>
    <row r="14" spans="1:30" x14ac:dyDescent="0.2">
      <c r="A14" s="155">
        <v>1</v>
      </c>
      <c r="B14" s="152" t="s">
        <v>8</v>
      </c>
      <c r="C14" s="197">
        <v>7.1700000000000002E-3</v>
      </c>
      <c r="D14" s="154">
        <f>$C$1*C14</f>
        <v>23.73987</v>
      </c>
      <c r="E14" s="6"/>
      <c r="F14" s="31"/>
      <c r="I14" s="100">
        <v>2013</v>
      </c>
      <c r="J14" s="100">
        <v>3086</v>
      </c>
      <c r="K14" s="101">
        <f t="shared" si="1"/>
        <v>1.8145826459914138E-2</v>
      </c>
      <c r="P14" s="3"/>
      <c r="Q14" s="158"/>
      <c r="R14" s="158"/>
      <c r="S14" s="158"/>
      <c r="T14" s="158"/>
    </row>
    <row r="15" spans="1:30" x14ac:dyDescent="0.2">
      <c r="A15" s="197">
        <v>0.96</v>
      </c>
      <c r="B15" s="156" t="s">
        <v>58</v>
      </c>
      <c r="C15" s="197">
        <f>C14*A15</f>
        <v>6.8831999999999999E-3</v>
      </c>
      <c r="D15" s="154">
        <f t="shared" ref="D15:D16" si="3">$C$1*C15</f>
        <v>22.7902752</v>
      </c>
      <c r="E15" s="6"/>
      <c r="F15" s="6"/>
      <c r="I15" s="100">
        <v>2014</v>
      </c>
      <c r="J15" s="100">
        <v>3129</v>
      </c>
      <c r="K15" s="101">
        <f t="shared" si="1"/>
        <v>1.393389500972142E-2</v>
      </c>
      <c r="P15" s="3"/>
      <c r="Q15" s="3"/>
      <c r="R15" s="3"/>
      <c r="S15" s="3"/>
      <c r="T15" s="3"/>
    </row>
    <row r="16" spans="1:30" x14ac:dyDescent="0.2">
      <c r="A16" s="197">
        <v>0.04</v>
      </c>
      <c r="B16" s="156" t="s">
        <v>61</v>
      </c>
      <c r="C16" s="197">
        <f>C14*A16</f>
        <v>2.8680000000000003E-4</v>
      </c>
      <c r="D16" s="154">
        <f t="shared" si="3"/>
        <v>0.94959480000000007</v>
      </c>
      <c r="E16" s="6"/>
      <c r="F16" s="6"/>
      <c r="I16" s="100">
        <v>2015</v>
      </c>
      <c r="J16" s="100">
        <v>3170</v>
      </c>
      <c r="K16" s="101">
        <f t="shared" si="1"/>
        <v>1.3103227868328515E-2</v>
      </c>
      <c r="O16" s="4"/>
      <c r="P16" s="3"/>
      <c r="Q16" s="157"/>
      <c r="R16" s="157"/>
      <c r="S16" s="157"/>
      <c r="T16" s="157"/>
    </row>
    <row r="17" spans="1:20" x14ac:dyDescent="0.2">
      <c r="E17" s="6"/>
      <c r="I17" s="100">
        <v>2016</v>
      </c>
      <c r="J17" s="100">
        <v>3218</v>
      </c>
      <c r="K17" s="101">
        <f t="shared" si="1"/>
        <v>1.5141955835962229E-2</v>
      </c>
      <c r="P17" s="4"/>
      <c r="Q17" s="158"/>
      <c r="R17" s="158"/>
      <c r="T17" s="158"/>
    </row>
    <row r="18" spans="1:20" x14ac:dyDescent="0.2">
      <c r="I18" s="160">
        <v>2017</v>
      </c>
      <c r="J18" s="160">
        <v>3269</v>
      </c>
      <c r="K18" s="161">
        <f t="shared" si="1"/>
        <v>1.5848353014294547E-2</v>
      </c>
      <c r="P18" s="3"/>
      <c r="Q18" s="6"/>
      <c r="R18" s="6"/>
    </row>
    <row r="19" spans="1:20" ht="13.5" thickBot="1" x14ac:dyDescent="0.25">
      <c r="C19" s="8">
        <v>2.3630000000000002E-2</v>
      </c>
      <c r="D19" s="7"/>
      <c r="I19" s="100">
        <v>2018</v>
      </c>
      <c r="J19" s="100"/>
      <c r="K19" s="101">
        <f t="shared" si="1"/>
        <v>-1</v>
      </c>
      <c r="O19" s="4"/>
      <c r="P19" s="3"/>
      <c r="Q19" s="127"/>
      <c r="R19" s="127"/>
      <c r="S19" s="127"/>
      <c r="T19" s="127"/>
    </row>
    <row r="20" spans="1:20" ht="13.5" thickBot="1" x14ac:dyDescent="0.25">
      <c r="B20" s="20" t="s">
        <v>10</v>
      </c>
      <c r="C20" s="14"/>
      <c r="D20" s="104">
        <v>3330</v>
      </c>
      <c r="I20" s="100">
        <v>2019</v>
      </c>
      <c r="J20" s="100"/>
      <c r="K20" s="101" t="e">
        <f t="shared" si="1"/>
        <v>#DIV/0!</v>
      </c>
      <c r="P20" s="4"/>
      <c r="Q20" s="158"/>
      <c r="R20" s="158"/>
      <c r="S20" s="159"/>
      <c r="T20" s="158"/>
    </row>
    <row r="21" spans="1:20" ht="13.5" thickBot="1" x14ac:dyDescent="0.25">
      <c r="B21" s="9"/>
      <c r="C21" s="10" t="s">
        <v>11</v>
      </c>
      <c r="D21" s="11">
        <v>3</v>
      </c>
      <c r="I21" s="100">
        <v>2020</v>
      </c>
      <c r="J21" s="100"/>
      <c r="K21" s="101" t="e">
        <f t="shared" si="1"/>
        <v>#DIV/0!</v>
      </c>
      <c r="Q21" s="127"/>
      <c r="R21" s="127"/>
      <c r="S21" s="127"/>
      <c r="T21" s="127"/>
    </row>
    <row r="22" spans="1:20" ht="13.5" thickBot="1" x14ac:dyDescent="0.25">
      <c r="C22" s="12" t="s">
        <v>39</v>
      </c>
      <c r="D22" s="13">
        <f>IF(D20&lt;C1,D20*C19,D6-D21)</f>
        <v>92.356799999999993</v>
      </c>
      <c r="I22" s="100">
        <v>2021</v>
      </c>
      <c r="J22" s="100"/>
      <c r="K22" s="101" t="e">
        <f t="shared" si="1"/>
        <v>#DIV/0!</v>
      </c>
    </row>
    <row r="23" spans="1:20" ht="15.75" customHeight="1" x14ac:dyDescent="0.2">
      <c r="C23" s="74" t="s">
        <v>9</v>
      </c>
      <c r="D23" s="75">
        <f>IF(D20&lt;C1,D6-D22,3)</f>
        <v>3</v>
      </c>
      <c r="I23" s="100">
        <v>2022</v>
      </c>
      <c r="J23" s="100"/>
      <c r="K23" s="101" t="e">
        <f t="shared" si="1"/>
        <v>#DIV/0!</v>
      </c>
    </row>
    <row r="24" spans="1:20" x14ac:dyDescent="0.2">
      <c r="C24" s="76" t="s">
        <v>47</v>
      </c>
      <c r="D24" s="77">
        <f>SUM(D7,D22,D23)</f>
        <v>124.49359999999999</v>
      </c>
      <c r="I24" s="100">
        <v>2023</v>
      </c>
      <c r="J24" s="100"/>
      <c r="K24" s="101" t="e">
        <f t="shared" si="1"/>
        <v>#DIV/0!</v>
      </c>
    </row>
    <row r="25" spans="1:20" x14ac:dyDescent="0.2">
      <c r="D25" s="6"/>
      <c r="G25" s="94"/>
      <c r="H25" s="109"/>
      <c r="K25"/>
      <c r="L25"/>
    </row>
    <row r="26" spans="1:20" ht="16.5" thickBot="1" x14ac:dyDescent="0.3">
      <c r="A26" s="22" t="s">
        <v>13</v>
      </c>
      <c r="G26" s="56"/>
      <c r="H26"/>
      <c r="K26"/>
      <c r="L26"/>
    </row>
    <row r="27" spans="1:20" ht="13.5" thickBot="1" x14ac:dyDescent="0.25">
      <c r="A27" s="20" t="s">
        <v>20</v>
      </c>
      <c r="B27" s="121">
        <v>3500</v>
      </c>
      <c r="C27"/>
      <c r="G27" s="94"/>
      <c r="H27" s="109"/>
    </row>
    <row r="28" spans="1:20" x14ac:dyDescent="0.2">
      <c r="A28" s="27"/>
      <c r="B28" s="28"/>
      <c r="C28" s="29"/>
      <c r="D28" s="28"/>
      <c r="E28" s="29"/>
      <c r="F28" s="29"/>
    </row>
    <row r="29" spans="1:20" x14ac:dyDescent="0.2">
      <c r="A29" s="49" t="s">
        <v>24</v>
      </c>
      <c r="B29" s="27" t="s">
        <v>27</v>
      </c>
      <c r="C29" s="29"/>
      <c r="D29" s="28"/>
      <c r="E29" s="29"/>
      <c r="F29" s="29"/>
      <c r="K29"/>
      <c r="L29"/>
    </row>
    <row r="30" spans="1:20" ht="13.5" thickBot="1" x14ac:dyDescent="0.25">
      <c r="A30" s="49" t="s">
        <v>25</v>
      </c>
      <c r="B30" s="27" t="s">
        <v>28</v>
      </c>
      <c r="C30" s="29"/>
      <c r="D30" s="28"/>
      <c r="E30" s="29"/>
      <c r="F30" s="29"/>
    </row>
    <row r="31" spans="1:20" ht="15.75" customHeight="1" thickBot="1" x14ac:dyDescent="0.25">
      <c r="A31" s="27"/>
      <c r="B31" s="28"/>
      <c r="C31" s="29"/>
      <c r="D31" s="28"/>
      <c r="E31" s="29"/>
      <c r="F31" s="29"/>
      <c r="G31" s="172" t="s">
        <v>57</v>
      </c>
      <c r="H31" s="114"/>
    </row>
    <row r="32" spans="1:20" s="29" customFormat="1" ht="13.5" thickBot="1" x14ac:dyDescent="0.25">
      <c r="A32"/>
      <c r="B32" s="391" t="s">
        <v>19</v>
      </c>
      <c r="C32" s="392"/>
      <c r="D32" s="1"/>
      <c r="E32" s="391" t="s">
        <v>18</v>
      </c>
      <c r="F32" s="395"/>
      <c r="G32" s="115" t="s">
        <v>58</v>
      </c>
      <c r="H32" s="114" t="s">
        <v>59</v>
      </c>
    </row>
    <row r="33" spans="1:8" s="29" customFormat="1" ht="13.5" thickBot="1" x14ac:dyDescent="0.25">
      <c r="A33" s="32"/>
      <c r="B33" s="60" t="s">
        <v>14</v>
      </c>
      <c r="C33" s="60" t="s">
        <v>23</v>
      </c>
      <c r="D33" s="33"/>
      <c r="E33" s="60" t="s">
        <v>14</v>
      </c>
      <c r="F33" s="112" t="s">
        <v>15</v>
      </c>
      <c r="G33" s="116" t="s">
        <v>14</v>
      </c>
      <c r="H33" s="61" t="s">
        <v>15</v>
      </c>
    </row>
    <row r="34" spans="1:8" s="29" customFormat="1" x14ac:dyDescent="0.2">
      <c r="A34" s="62" t="s">
        <v>16</v>
      </c>
      <c r="B34" s="8">
        <v>6.2399999999999999E-3</v>
      </c>
      <c r="C34" s="8">
        <v>8.1399999999999997E-3</v>
      </c>
      <c r="D34" s="1"/>
      <c r="E34" s="8">
        <v>8.1200000000000005E-3</v>
      </c>
      <c r="F34" s="8">
        <v>8.6199999999999992E-3</v>
      </c>
      <c r="G34" s="146">
        <f>SUM(B34,E34)</f>
        <v>1.4360000000000001E-2</v>
      </c>
      <c r="H34" s="145">
        <f>SUM(C34,F34)</f>
        <v>1.6759999999999997E-2</v>
      </c>
    </row>
    <row r="35" spans="1:8" s="29" customFormat="1" x14ac:dyDescent="0.2">
      <c r="A35" s="35" t="s">
        <v>22</v>
      </c>
      <c r="B35" s="1">
        <f>IF(B27&lt;C1,B27,C1)</f>
        <v>3311</v>
      </c>
      <c r="C35" s="1">
        <f>IF(B27&lt;C1,0,B27-C1)</f>
        <v>189</v>
      </c>
      <c r="D35" s="1"/>
      <c r="E35" s="1">
        <f>IF(B27&lt;C1,B27,C1)</f>
        <v>3311</v>
      </c>
      <c r="F35" s="1">
        <f>IF(B27&lt;C1,0,B27-C1)</f>
        <v>189</v>
      </c>
      <c r="G35" s="117"/>
      <c r="H35" s="36"/>
    </row>
    <row r="36" spans="1:8" ht="13.5" thickBot="1" x14ac:dyDescent="0.25">
      <c r="A36" s="37" t="s">
        <v>21</v>
      </c>
      <c r="B36" s="6">
        <f>$B$35*B34</f>
        <v>20.660640000000001</v>
      </c>
      <c r="C36" s="6">
        <f>C35*C34</f>
        <v>1.5384599999999999</v>
      </c>
      <c r="D36" s="6"/>
      <c r="E36" s="6">
        <f>$E$35*E34</f>
        <v>26.88532</v>
      </c>
      <c r="F36" s="6">
        <f>$E$35*F34</f>
        <v>28.540819999999997</v>
      </c>
      <c r="G36" s="118"/>
      <c r="H36" s="38"/>
    </row>
    <row r="37" spans="1:8" s="1" customFormat="1" ht="13.5" thickBot="1" x14ac:dyDescent="0.25">
      <c r="A37" s="37" t="s">
        <v>26</v>
      </c>
      <c r="B37" s="388">
        <f>SUM(B36:C36)</f>
        <v>22.199100000000001</v>
      </c>
      <c r="C37" s="389"/>
      <c r="D37" s="6"/>
      <c r="E37" s="388">
        <f>SUM(E36:F36)</f>
        <v>55.426139999999997</v>
      </c>
      <c r="F37" s="396"/>
      <c r="G37" s="113"/>
      <c r="H37" s="113"/>
    </row>
    <row r="38" spans="1:8" ht="13.5" thickBot="1" x14ac:dyDescent="0.25">
      <c r="A38" s="39"/>
      <c r="B38" s="40"/>
      <c r="C38" s="40"/>
      <c r="D38" s="48">
        <f>SUM(B37:F37)</f>
        <v>77.625239999999991</v>
      </c>
      <c r="E38" s="40"/>
      <c r="F38" s="40"/>
      <c r="G38" s="119"/>
      <c r="H38" s="41"/>
    </row>
    <row r="39" spans="1:8" ht="13.5" thickBot="1" x14ac:dyDescent="0.25">
      <c r="B39" s="1"/>
      <c r="D39" s="30"/>
      <c r="E39" s="1"/>
      <c r="F39" s="1"/>
      <c r="G39" s="1"/>
      <c r="H39" s="1"/>
    </row>
    <row r="40" spans="1:8" x14ac:dyDescent="0.2">
      <c r="A40" s="63" t="s">
        <v>17</v>
      </c>
      <c r="B40" s="42">
        <v>0</v>
      </c>
      <c r="C40" s="144">
        <v>8.1399999999999997E-3</v>
      </c>
      <c r="D40" s="33"/>
      <c r="E40" s="144">
        <v>1.436E-2</v>
      </c>
      <c r="F40" s="145">
        <v>8.6199999999999992E-3</v>
      </c>
      <c r="G40" s="145">
        <f>SUM(B40,E40)</f>
        <v>1.436E-2</v>
      </c>
      <c r="H40" s="145">
        <f>SUM(C40,F40)</f>
        <v>1.6759999999999997E-2</v>
      </c>
    </row>
    <row r="41" spans="1:8" x14ac:dyDescent="0.2">
      <c r="A41" s="35" t="s">
        <v>22</v>
      </c>
      <c r="B41" s="31"/>
      <c r="C41" s="1">
        <f>IF(B27&lt;C1,0,B27-C1)</f>
        <v>189</v>
      </c>
      <c r="E41" s="1">
        <f>IF(B27&lt;C1,B27,C1)</f>
        <v>3311</v>
      </c>
      <c r="F41" s="36">
        <f>IF(B27&lt;C1,0,B27-C1)</f>
        <v>189</v>
      </c>
      <c r="G41" s="34"/>
      <c r="H41" s="34"/>
    </row>
    <row r="42" spans="1:8" ht="13.5" thickBot="1" x14ac:dyDescent="0.25">
      <c r="A42" s="37" t="s">
        <v>21</v>
      </c>
      <c r="B42" s="6"/>
      <c r="C42" s="6">
        <f>C41*C40</f>
        <v>1.5384599999999999</v>
      </c>
      <c r="D42" s="6"/>
      <c r="E42" s="6">
        <f>E41*E40</f>
        <v>47.545960000000001</v>
      </c>
      <c r="F42" s="38">
        <f>F41*F40</f>
        <v>1.6291799999999999</v>
      </c>
      <c r="G42" s="38"/>
      <c r="H42" s="38"/>
    </row>
    <row r="43" spans="1:8" ht="13.5" thickBot="1" x14ac:dyDescent="0.25">
      <c r="A43" s="37" t="s">
        <v>26</v>
      </c>
      <c r="B43" s="388">
        <f>SUM(B42:C42)</f>
        <v>1.5384599999999999</v>
      </c>
      <c r="C43" s="389"/>
      <c r="E43" s="388">
        <f>SUM(E42:F42)</f>
        <v>49.175139999999999</v>
      </c>
      <c r="F43" s="389"/>
      <c r="G43" s="113"/>
      <c r="H43" s="113"/>
    </row>
    <row r="44" spans="1:8" ht="13.5" thickBot="1" x14ac:dyDescent="0.25">
      <c r="A44" s="39"/>
      <c r="B44" s="45"/>
      <c r="C44" s="40"/>
      <c r="D44" s="48">
        <f>SUM(B43:F43)</f>
        <v>50.7136</v>
      </c>
      <c r="E44" s="46"/>
      <c r="F44" s="47"/>
      <c r="G44" s="47"/>
      <c r="H44" s="47"/>
    </row>
    <row r="49" spans="3:5" x14ac:dyDescent="0.2">
      <c r="C49" s="5"/>
      <c r="D49" s="73"/>
      <c r="E49" s="1"/>
    </row>
    <row r="50" spans="3:5" x14ac:dyDescent="0.2">
      <c r="C50" s="5"/>
      <c r="D50" s="5"/>
      <c r="E50" s="30"/>
    </row>
    <row r="51" spans="3:5" x14ac:dyDescent="0.2">
      <c r="D51" s="5"/>
      <c r="E51" s="30"/>
    </row>
  </sheetData>
  <mergeCells count="6">
    <mergeCell ref="B43:C43"/>
    <mergeCell ref="E43:F43"/>
    <mergeCell ref="B32:C32"/>
    <mergeCell ref="E32:F32"/>
    <mergeCell ref="B37:C37"/>
    <mergeCell ref="E37:F37"/>
  </mergeCells>
  <conditionalFormatting sqref="D24">
    <cfRule type="cellIs" dxfId="7" priority="3" operator="notEqual">
      <formula>$D$5</formula>
    </cfRule>
    <cfRule type="cellIs" dxfId="6" priority="5" stopIfTrue="1" operator="greaterThan">
      <formula>$D$5</formula>
    </cfRule>
  </conditionalFormatting>
  <printOptions horizontalCentered="1" headings="1" gridLines="1"/>
  <pageMargins left="0" right="0" top="0.39370078740157483" bottom="0" header="0.11811023622047245" footer="0.51181102362204722"/>
  <pageSetup paperSize="9" scale="95" orientation="landscape" cellComments="asDisplayed" r:id="rId1"/>
  <headerFooter alignWithMargins="0">
    <oddHeader>&amp;C&amp;F / &amp;A</oddHeader>
    <oddFooter>&amp;C&amp;1#&amp;"Arial"&amp;7&amp;K7f7f7fGeneral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28"/>
  <sheetViews>
    <sheetView zoomScale="140" zoomScaleNormal="140" workbookViewId="0">
      <selection activeCell="F6" sqref="F6"/>
    </sheetView>
  </sheetViews>
  <sheetFormatPr baseColWidth="10" defaultColWidth="11.5703125" defaultRowHeight="12.75" x14ac:dyDescent="0.2"/>
  <cols>
    <col min="1" max="1" width="9.7109375" style="283" bestFit="1" customWidth="1"/>
    <col min="2" max="2" width="24.5703125" style="284" customWidth="1"/>
    <col min="3" max="3" width="9.7109375" style="284" bestFit="1" customWidth="1"/>
    <col min="4" max="4" width="9.42578125" style="127" customWidth="1"/>
    <col min="5" max="5" width="9.28515625" style="127" customWidth="1"/>
    <col min="6" max="6" width="6.85546875" style="127" customWidth="1"/>
    <col min="7" max="7" width="9.7109375" style="127" bestFit="1" customWidth="1"/>
    <col min="8" max="8" width="7.28515625" style="127" customWidth="1"/>
    <col min="9" max="9" width="3.42578125" style="127" customWidth="1"/>
    <col min="10" max="10" width="20.28515625" style="127" bestFit="1" customWidth="1"/>
    <col min="11" max="11" width="20" style="127" bestFit="1" customWidth="1"/>
    <col min="12" max="12" width="7.42578125" style="127" bestFit="1" customWidth="1"/>
    <col min="13" max="13" width="9.7109375" style="127" bestFit="1" customWidth="1"/>
    <col min="14" max="14" width="7.42578125" style="127" bestFit="1" customWidth="1"/>
    <col min="15" max="16" width="9.85546875" style="127" bestFit="1" customWidth="1"/>
    <col min="17" max="16384" width="11.5703125" style="127"/>
  </cols>
  <sheetData>
    <row r="2" spans="1:16" x14ac:dyDescent="0.2">
      <c r="A2" s="280" t="s">
        <v>114</v>
      </c>
      <c r="O2" s="284"/>
    </row>
    <row r="3" spans="1:16" x14ac:dyDescent="0.2">
      <c r="A3" s="281"/>
      <c r="C3" s="362"/>
      <c r="D3" s="364" t="s">
        <v>1</v>
      </c>
      <c r="E3" s="356"/>
      <c r="F3" s="356"/>
      <c r="G3" s="356"/>
      <c r="K3" s="397" t="s">
        <v>6</v>
      </c>
      <c r="L3" s="397"/>
      <c r="M3" s="397"/>
      <c r="N3" s="397"/>
      <c r="O3" s="398" t="s">
        <v>140</v>
      </c>
      <c r="P3" s="398"/>
    </row>
    <row r="4" spans="1:16" x14ac:dyDescent="0.2">
      <c r="A4" s="281"/>
      <c r="C4" s="352" t="s">
        <v>138</v>
      </c>
      <c r="D4" s="352" t="s">
        <v>111</v>
      </c>
      <c r="E4" s="277" t="s">
        <v>58</v>
      </c>
      <c r="F4" s="277"/>
      <c r="G4" s="277" t="s">
        <v>61</v>
      </c>
      <c r="H4" s="277" t="s">
        <v>117</v>
      </c>
      <c r="I4" s="277"/>
      <c r="K4" s="382" t="s">
        <v>112</v>
      </c>
      <c r="L4" s="382" t="s">
        <v>138</v>
      </c>
      <c r="M4" s="357" t="s">
        <v>113</v>
      </c>
      <c r="N4" s="357" t="s">
        <v>138</v>
      </c>
      <c r="O4" s="369" t="s">
        <v>66</v>
      </c>
      <c r="P4" s="369" t="s">
        <v>138</v>
      </c>
    </row>
    <row r="5" spans="1:16" x14ac:dyDescent="0.2">
      <c r="A5" s="281">
        <v>2004</v>
      </c>
      <c r="B5" s="285" t="s">
        <v>116</v>
      </c>
      <c r="C5" s="363"/>
      <c r="D5" s="353">
        <v>3.15</v>
      </c>
      <c r="E5" s="279">
        <v>2.61</v>
      </c>
      <c r="F5" s="279"/>
      <c r="G5" s="279">
        <v>0.54</v>
      </c>
      <c r="H5" s="279">
        <f>SUM(E5:G5)</f>
        <v>3.15</v>
      </c>
      <c r="I5" s="279"/>
      <c r="J5" s="278"/>
      <c r="K5" s="383">
        <v>0.26</v>
      </c>
      <c r="L5" s="383"/>
      <c r="M5" s="365">
        <v>0.1</v>
      </c>
      <c r="N5" s="358"/>
      <c r="O5" s="371"/>
      <c r="P5" s="370"/>
    </row>
    <row r="6" spans="1:16" x14ac:dyDescent="0.2">
      <c r="A6" s="282">
        <v>2007</v>
      </c>
      <c r="B6" s="285"/>
      <c r="C6" s="355">
        <f>SUM((D6/D5)-1)</f>
        <v>0</v>
      </c>
      <c r="D6" s="353">
        <v>3.15</v>
      </c>
      <c r="E6" s="279">
        <v>2.61</v>
      </c>
      <c r="F6" s="379">
        <f>SUM((E6/E5)-1)</f>
        <v>0</v>
      </c>
      <c r="G6" s="279">
        <v>0.54</v>
      </c>
      <c r="H6" s="279"/>
      <c r="I6" s="279"/>
      <c r="J6" s="276" t="s">
        <v>115</v>
      </c>
      <c r="K6" s="384">
        <v>0.312</v>
      </c>
      <c r="L6" s="385">
        <f t="shared" ref="L6:L10" si="0">SUM((K6/K5)-1)</f>
        <v>0.19999999999999996</v>
      </c>
      <c r="M6" s="366">
        <v>0.12</v>
      </c>
      <c r="N6" s="360">
        <f>SUM((M6/M5)-1)</f>
        <v>0.19999999999999996</v>
      </c>
      <c r="O6" s="372"/>
      <c r="P6" s="370"/>
    </row>
    <row r="7" spans="1:16" x14ac:dyDescent="0.2">
      <c r="A7" s="282">
        <v>2011</v>
      </c>
      <c r="C7" s="355">
        <f>SUM((D7/D6)-1)</f>
        <v>0</v>
      </c>
      <c r="D7" s="353">
        <v>3.15</v>
      </c>
      <c r="E7" s="279">
        <v>2.61</v>
      </c>
      <c r="F7" s="379">
        <f t="shared" ref="F7:F10" si="1">SUM((E7/E6)-1)</f>
        <v>0</v>
      </c>
      <c r="G7" s="279">
        <v>0.54</v>
      </c>
      <c r="H7" s="279"/>
      <c r="I7" s="279"/>
      <c r="J7" s="276" t="s">
        <v>115</v>
      </c>
      <c r="K7" s="386">
        <v>0.37440000000000001</v>
      </c>
      <c r="L7" s="385">
        <f t="shared" si="0"/>
        <v>0.19999999999999996</v>
      </c>
      <c r="M7" s="367">
        <v>0.14399999999999999</v>
      </c>
      <c r="N7" s="360">
        <f t="shared" ref="N7:N15" si="2">SUM((M7/M6)-1)</f>
        <v>0.19999999999999996</v>
      </c>
      <c r="O7" s="373"/>
      <c r="P7" s="370"/>
    </row>
    <row r="8" spans="1:16" ht="25.5" x14ac:dyDescent="0.2">
      <c r="A8" s="281">
        <v>2013</v>
      </c>
      <c r="B8" s="285" t="s">
        <v>120</v>
      </c>
      <c r="C8" s="355">
        <f>SUM((D8/D5)-1)</f>
        <v>3.1746031746031855E-2</v>
      </c>
      <c r="D8" s="354">
        <v>3.25</v>
      </c>
      <c r="E8" s="278">
        <v>2.61</v>
      </c>
      <c r="F8" s="379">
        <f t="shared" si="1"/>
        <v>0</v>
      </c>
      <c r="G8" s="278">
        <v>0.64</v>
      </c>
      <c r="H8" s="279">
        <f t="shared" ref="H8:H10" si="3">SUM(E8:G8)</f>
        <v>3.25</v>
      </c>
      <c r="I8" s="279"/>
      <c r="J8" s="276" t="s">
        <v>118</v>
      </c>
      <c r="K8" s="384">
        <v>0.38629999999999998</v>
      </c>
      <c r="L8" s="385">
        <f t="shared" si="0"/>
        <v>3.1784188034188032E-2</v>
      </c>
      <c r="M8" s="366">
        <v>0.14860000000000001</v>
      </c>
      <c r="N8" s="360">
        <f t="shared" si="2"/>
        <v>3.1944444444444553E-2</v>
      </c>
      <c r="O8" s="372"/>
      <c r="P8" s="368"/>
    </row>
    <row r="9" spans="1:16" ht="25.5" x14ac:dyDescent="0.2">
      <c r="A9" s="281">
        <v>2014</v>
      </c>
      <c r="B9" s="285" t="s">
        <v>121</v>
      </c>
      <c r="C9" s="355">
        <f t="shared" ref="C9:C10" si="4">SUM((D9/D8)-1)</f>
        <v>4.0000000000000036E-2</v>
      </c>
      <c r="D9" s="354">
        <v>3.38</v>
      </c>
      <c r="E9" s="278">
        <v>2.61</v>
      </c>
      <c r="F9" s="379">
        <f t="shared" si="1"/>
        <v>0</v>
      </c>
      <c r="G9" s="278">
        <v>0.77</v>
      </c>
      <c r="H9" s="279">
        <f t="shared" si="3"/>
        <v>3.38</v>
      </c>
      <c r="I9" s="279"/>
      <c r="J9" s="278" t="s">
        <v>141</v>
      </c>
      <c r="K9" s="384">
        <v>0.38629999999999998</v>
      </c>
      <c r="L9" s="385">
        <f t="shared" si="0"/>
        <v>0</v>
      </c>
      <c r="M9" s="366">
        <v>0.14860000000000001</v>
      </c>
      <c r="N9" s="360">
        <f t="shared" si="2"/>
        <v>0</v>
      </c>
      <c r="O9" s="372"/>
      <c r="P9" s="368"/>
    </row>
    <row r="10" spans="1:16" x14ac:dyDescent="0.2">
      <c r="A10" s="281">
        <v>2015</v>
      </c>
      <c r="B10" s="285" t="s">
        <v>119</v>
      </c>
      <c r="C10" s="355">
        <f t="shared" si="4"/>
        <v>-2.3668639053254448E-2</v>
      </c>
      <c r="D10" s="354">
        <v>3.3</v>
      </c>
      <c r="E10" s="278">
        <v>2.5499999999999998</v>
      </c>
      <c r="F10" s="379">
        <f t="shared" si="1"/>
        <v>-2.2988505747126409E-2</v>
      </c>
      <c r="G10" s="278">
        <v>0.75</v>
      </c>
      <c r="H10" s="279">
        <f t="shared" si="3"/>
        <v>3.2770114942528732</v>
      </c>
      <c r="I10" s="279"/>
      <c r="J10" s="285" t="s">
        <v>119</v>
      </c>
      <c r="K10" s="384">
        <v>0.37769999999999998</v>
      </c>
      <c r="L10" s="385">
        <f t="shared" si="0"/>
        <v>-2.2262490292518811E-2</v>
      </c>
      <c r="M10" s="366">
        <v>0.14527999999999999</v>
      </c>
      <c r="N10" s="360">
        <f t="shared" si="2"/>
        <v>-2.2341857335127946E-2</v>
      </c>
      <c r="O10" s="372"/>
      <c r="P10" s="368"/>
    </row>
    <row r="11" spans="1:16" x14ac:dyDescent="0.2">
      <c r="A11" s="281"/>
      <c r="B11" s="378" t="s">
        <v>145</v>
      </c>
      <c r="C11" s="380">
        <f>SUM(C5:C10)</f>
        <v>4.8077392692777443E-2</v>
      </c>
      <c r="D11" s="354"/>
      <c r="E11" s="278"/>
      <c r="F11" s="350">
        <f>SUM(F5:F10)</f>
        <v>-2.2988505747126409E-2</v>
      </c>
      <c r="G11" s="278"/>
      <c r="H11" s="279"/>
      <c r="I11" s="279"/>
      <c r="J11" s="285"/>
      <c r="K11" s="378" t="s">
        <v>142</v>
      </c>
      <c r="L11" s="380">
        <f>SUM(L5:L10)</f>
        <v>0.40952169774166913</v>
      </c>
      <c r="M11" s="378" t="s">
        <v>142</v>
      </c>
      <c r="N11" s="380">
        <f>SUM(N5:N10)</f>
        <v>0.40960258710931652</v>
      </c>
      <c r="O11" s="372"/>
      <c r="P11" s="368"/>
    </row>
    <row r="12" spans="1:16" x14ac:dyDescent="0.2">
      <c r="A12" s="127"/>
      <c r="B12" s="374" t="s">
        <v>143</v>
      </c>
      <c r="C12" s="381">
        <f>AVERAGE(C6:C11)</f>
        <v>1.6025797564259148E-2</v>
      </c>
      <c r="E12" s="278"/>
      <c r="F12" s="350">
        <f>AVERAGE(F6:F11)</f>
        <v>-7.6628352490421365E-3</v>
      </c>
      <c r="G12" s="278"/>
      <c r="H12" s="279"/>
      <c r="I12" s="279"/>
      <c r="J12" s="285"/>
      <c r="K12" s="374" t="s">
        <v>143</v>
      </c>
      <c r="L12" s="381">
        <f>AVERAGE(L6:L10)</f>
        <v>8.1904339548333829E-2</v>
      </c>
      <c r="M12" s="374" t="s">
        <v>139</v>
      </c>
      <c r="N12" s="381">
        <f>AVERAGE(N6:N10)</f>
        <v>8.1920517421863306E-2</v>
      </c>
      <c r="O12" s="372"/>
      <c r="P12" s="368"/>
    </row>
    <row r="13" spans="1:16" x14ac:dyDescent="0.2">
      <c r="A13" s="127"/>
      <c r="B13" s="127"/>
      <c r="C13" s="375"/>
      <c r="D13" s="158"/>
      <c r="E13" s="376"/>
      <c r="F13" s="376"/>
      <c r="G13" s="376"/>
      <c r="H13" s="279"/>
      <c r="I13" s="279"/>
      <c r="J13" s="377"/>
      <c r="K13" s="375"/>
      <c r="L13" s="158"/>
      <c r="M13" s="375"/>
      <c r="N13" s="158"/>
      <c r="O13" s="376"/>
      <c r="P13" s="158"/>
    </row>
    <row r="14" spans="1:16" ht="25.5" x14ac:dyDescent="0.2">
      <c r="A14" s="281">
        <v>2018</v>
      </c>
      <c r="B14" s="285" t="s">
        <v>137</v>
      </c>
      <c r="C14" s="355"/>
      <c r="D14" s="354">
        <v>2.76</v>
      </c>
      <c r="E14" s="350">
        <v>0.5</v>
      </c>
      <c r="F14" s="350"/>
      <c r="G14" s="350">
        <v>0.5</v>
      </c>
      <c r="H14" s="279"/>
      <c r="I14" s="279"/>
      <c r="J14" s="285" t="s">
        <v>137</v>
      </c>
      <c r="K14" s="384">
        <v>0.43</v>
      </c>
      <c r="L14" s="385"/>
      <c r="M14" s="366">
        <v>0.17</v>
      </c>
      <c r="N14" s="360"/>
      <c r="O14" s="372">
        <v>1.41</v>
      </c>
      <c r="P14" s="368"/>
    </row>
    <row r="15" spans="1:16" x14ac:dyDescent="0.2">
      <c r="A15" s="281">
        <v>2021</v>
      </c>
      <c r="B15" s="285" t="s">
        <v>136</v>
      </c>
      <c r="C15" s="355">
        <f>SUM((D15/D14)-1)</f>
        <v>4.3478260869565188E-2</v>
      </c>
      <c r="D15" s="354">
        <v>2.88</v>
      </c>
      <c r="E15" s="350">
        <v>0.5</v>
      </c>
      <c r="F15" s="350"/>
      <c r="G15" s="350">
        <v>0.5</v>
      </c>
      <c r="H15" s="279"/>
      <c r="I15" s="279"/>
      <c r="J15" s="285" t="s">
        <v>136</v>
      </c>
      <c r="K15" s="384">
        <v>0.5</v>
      </c>
      <c r="L15" s="385">
        <f>SUM((K15/K14)-1)</f>
        <v>0.16279069767441867</v>
      </c>
      <c r="M15" s="366">
        <v>0.2</v>
      </c>
      <c r="N15" s="360">
        <f t="shared" si="2"/>
        <v>0.17647058823529416</v>
      </c>
      <c r="O15" s="372">
        <v>1.52</v>
      </c>
      <c r="P15" s="368">
        <f>SUM((O15/O14)-1)</f>
        <v>7.8014184397163122E-2</v>
      </c>
    </row>
    <row r="16" spans="1:16" x14ac:dyDescent="0.2">
      <c r="A16" s="281">
        <v>2022</v>
      </c>
      <c r="B16" s="285"/>
      <c r="C16" s="363"/>
      <c r="D16" s="354"/>
      <c r="E16" s="278"/>
      <c r="F16" s="278"/>
      <c r="G16" s="278"/>
      <c r="H16" s="279"/>
      <c r="I16" s="279"/>
      <c r="J16" s="278"/>
      <c r="K16" s="384"/>
      <c r="L16" s="384"/>
      <c r="M16" s="366"/>
      <c r="N16" s="359"/>
      <c r="O16" s="372"/>
      <c r="P16" s="370"/>
    </row>
    <row r="17" spans="1:16" x14ac:dyDescent="0.2">
      <c r="A17" s="281">
        <v>2023</v>
      </c>
      <c r="B17" s="285"/>
      <c r="C17" s="363"/>
      <c r="D17" s="356"/>
      <c r="H17" s="279"/>
      <c r="I17" s="279"/>
      <c r="K17" s="386"/>
      <c r="L17" s="386"/>
      <c r="M17" s="367"/>
      <c r="N17" s="361"/>
      <c r="O17" s="373"/>
      <c r="P17" s="370"/>
    </row>
    <row r="18" spans="1:16" x14ac:dyDescent="0.2">
      <c r="A18" s="281">
        <v>2024</v>
      </c>
      <c r="B18" s="285"/>
      <c r="C18" s="363"/>
      <c r="D18" s="356"/>
      <c r="H18" s="279"/>
      <c r="I18" s="279"/>
      <c r="K18" s="386"/>
      <c r="L18" s="386"/>
      <c r="M18" s="367"/>
      <c r="N18" s="361"/>
      <c r="O18" s="373"/>
      <c r="P18" s="370"/>
    </row>
    <row r="19" spans="1:16" x14ac:dyDescent="0.2">
      <c r="A19" s="281">
        <v>2025</v>
      </c>
      <c r="B19" s="285"/>
      <c r="C19" s="363"/>
      <c r="D19" s="356"/>
      <c r="H19" s="279"/>
      <c r="I19" s="279"/>
      <c r="K19" s="386"/>
      <c r="L19" s="386"/>
      <c r="M19" s="367"/>
      <c r="N19" s="361"/>
      <c r="O19" s="373"/>
      <c r="P19" s="370"/>
    </row>
    <row r="20" spans="1:16" x14ac:dyDescent="0.2">
      <c r="A20" s="281">
        <v>2026</v>
      </c>
      <c r="B20" s="285"/>
      <c r="C20" s="363"/>
      <c r="D20" s="356"/>
      <c r="H20" s="279"/>
      <c r="I20" s="279"/>
      <c r="K20" s="386"/>
      <c r="L20" s="386"/>
      <c r="M20" s="367"/>
      <c r="N20" s="361"/>
      <c r="O20" s="373"/>
      <c r="P20" s="370"/>
    </row>
    <row r="21" spans="1:16" x14ac:dyDescent="0.2">
      <c r="A21" s="281">
        <v>2027</v>
      </c>
      <c r="B21" s="285"/>
      <c r="C21" s="363"/>
      <c r="D21" s="356"/>
      <c r="H21" s="279"/>
      <c r="I21" s="279"/>
      <c r="K21" s="386"/>
      <c r="L21" s="386"/>
      <c r="M21" s="367"/>
      <c r="N21" s="361"/>
      <c r="O21" s="373"/>
      <c r="P21" s="370"/>
    </row>
    <row r="22" spans="1:16" x14ac:dyDescent="0.2">
      <c r="A22" s="281">
        <v>2028</v>
      </c>
      <c r="B22" s="285"/>
      <c r="C22" s="363"/>
      <c r="D22" s="356"/>
      <c r="H22" s="279"/>
      <c r="I22" s="279"/>
      <c r="K22" s="386"/>
      <c r="L22" s="386"/>
      <c r="M22" s="367"/>
      <c r="N22" s="361"/>
      <c r="O22" s="373"/>
      <c r="P22" s="370"/>
    </row>
    <row r="23" spans="1:16" x14ac:dyDescent="0.2">
      <c r="A23" s="281">
        <v>2029</v>
      </c>
      <c r="B23" s="285"/>
      <c r="C23" s="363"/>
      <c r="D23" s="356"/>
      <c r="H23" s="279"/>
      <c r="I23" s="279"/>
      <c r="K23" s="386"/>
      <c r="L23" s="386"/>
      <c r="M23" s="367"/>
      <c r="N23" s="361"/>
      <c r="O23" s="373"/>
      <c r="P23" s="370"/>
    </row>
    <row r="24" spans="1:16" x14ac:dyDescent="0.2">
      <c r="A24" s="281">
        <v>2030</v>
      </c>
      <c r="B24" s="127"/>
      <c r="C24" s="356"/>
      <c r="D24" s="356"/>
      <c r="K24" s="386"/>
      <c r="L24" s="386"/>
      <c r="M24" s="367"/>
      <c r="N24" s="361"/>
      <c r="O24" s="373"/>
      <c r="P24" s="370"/>
    </row>
    <row r="25" spans="1:16" x14ac:dyDescent="0.2">
      <c r="A25" s="281"/>
      <c r="B25" s="378" t="s">
        <v>146</v>
      </c>
      <c r="C25" s="380">
        <f>SUM(C15:C24)</f>
        <v>4.3478260869565188E-2</v>
      </c>
      <c r="D25" s="354"/>
      <c r="E25" s="278"/>
      <c r="F25" s="278"/>
      <c r="G25" s="278"/>
      <c r="H25" s="279"/>
      <c r="I25" s="279"/>
      <c r="J25" s="285"/>
      <c r="K25" s="378" t="s">
        <v>142</v>
      </c>
      <c r="L25" s="380">
        <f>SUM(L15:L24)</f>
        <v>0.16279069767441867</v>
      </c>
      <c r="M25" s="378" t="s">
        <v>142</v>
      </c>
      <c r="N25" s="380">
        <f>SUM(N15:N24)</f>
        <v>0.17647058823529416</v>
      </c>
      <c r="O25" s="378" t="s">
        <v>142</v>
      </c>
      <c r="P25" s="380">
        <f>SUM(P15:P24)</f>
        <v>7.8014184397163122E-2</v>
      </c>
    </row>
    <row r="26" spans="1:16" x14ac:dyDescent="0.2">
      <c r="A26" s="127"/>
      <c r="B26" s="374" t="s">
        <v>144</v>
      </c>
      <c r="C26" s="381">
        <f>AVERAGE(C15:C24)</f>
        <v>4.3478260869565188E-2</v>
      </c>
      <c r="H26" s="277"/>
      <c r="I26" s="277"/>
      <c r="K26" s="374" t="s">
        <v>144</v>
      </c>
      <c r="L26" s="381">
        <f>AVERAGE(L15:L24)</f>
        <v>0.16279069767441867</v>
      </c>
      <c r="M26" s="374" t="s">
        <v>139</v>
      </c>
      <c r="N26" s="381">
        <f>AVERAGE(N15:N24)</f>
        <v>0.17647058823529416</v>
      </c>
      <c r="O26" s="374" t="s">
        <v>139</v>
      </c>
      <c r="P26" s="381">
        <f>AVERAGE(P15:P24)</f>
        <v>7.8014184397163122E-2</v>
      </c>
    </row>
    <row r="27" spans="1:16" x14ac:dyDescent="0.2">
      <c r="A27" s="127"/>
      <c r="B27" s="127"/>
      <c r="C27" s="127"/>
    </row>
    <row r="28" spans="1:16" x14ac:dyDescent="0.2">
      <c r="A28" s="280"/>
    </row>
  </sheetData>
  <mergeCells count="2">
    <mergeCell ref="K3:N3"/>
    <mergeCell ref="O3:P3"/>
  </mergeCells>
  <phoneticPr fontId="2" type="noConversion"/>
  <printOptions gridLines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>
    <oddFooter>&amp;C&amp;1#&amp;"Arial"&amp;7&amp;K7f7f7fGeneral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60"/>
  <sheetViews>
    <sheetView zoomScale="84" zoomScaleNormal="84" workbookViewId="0">
      <pane ySplit="1" topLeftCell="A2" activePane="bottomLeft" state="frozen"/>
      <selection activeCell="C35" sqref="C35"/>
      <selection pane="bottomLeft" activeCell="C35" sqref="C35"/>
    </sheetView>
  </sheetViews>
  <sheetFormatPr baseColWidth="10" defaultRowHeight="12.75" x14ac:dyDescent="0.2"/>
  <cols>
    <col min="1" max="1" width="19.42578125" bestFit="1" customWidth="1"/>
    <col min="2" max="2" width="11.85546875" style="5" customWidth="1"/>
    <col min="3" max="3" width="14.5703125" style="1" customWidth="1"/>
    <col min="4" max="4" width="10" style="1" customWidth="1"/>
    <col min="5" max="5" width="8.28515625" style="1" bestFit="1" customWidth="1"/>
    <col min="6" max="6" width="12" customWidth="1"/>
    <col min="7" max="7" width="7.42578125" bestFit="1" customWidth="1"/>
    <col min="8" max="8" width="8.42578125" bestFit="1" customWidth="1"/>
    <col min="9" max="9" width="11.42578125" style="56" customWidth="1"/>
    <col min="10" max="10" width="3.28515625" customWidth="1"/>
    <col min="11" max="11" width="4.85546875" bestFit="1" customWidth="1"/>
    <col min="12" max="12" width="11.140625" style="50" bestFit="1" customWidth="1"/>
    <col min="13" max="13" width="12.140625" style="50" bestFit="1" customWidth="1"/>
    <col min="14" max="14" width="6.5703125" customWidth="1"/>
    <col min="15" max="15" width="9.7109375" bestFit="1" customWidth="1"/>
    <col min="16" max="16" width="12.140625" bestFit="1" customWidth="1"/>
    <col min="17" max="17" width="10.140625" customWidth="1"/>
    <col min="18" max="18" width="6.7109375" bestFit="1" customWidth="1"/>
    <col min="19" max="19" width="6.42578125" customWidth="1"/>
    <col min="20" max="20" width="9.7109375" bestFit="1" customWidth="1"/>
    <col min="21" max="21" width="2.42578125" customWidth="1"/>
    <col min="22" max="22" width="9.7109375" bestFit="1" customWidth="1"/>
    <col min="23" max="23" width="6.28515625" customWidth="1"/>
    <col min="24" max="24" width="8.28515625" customWidth="1"/>
    <col min="25" max="25" width="10.7109375" bestFit="1" customWidth="1"/>
    <col min="26" max="28" width="7.140625" customWidth="1"/>
  </cols>
  <sheetData>
    <row r="1" spans="1:31" s="24" customFormat="1" ht="16.5" thickBot="1" x14ac:dyDescent="0.3">
      <c r="B1" s="23" t="s">
        <v>0</v>
      </c>
      <c r="C1" s="230">
        <v>3311</v>
      </c>
      <c r="D1" s="26"/>
      <c r="E1" s="199"/>
      <c r="G1"/>
      <c r="H1"/>
      <c r="J1"/>
      <c r="K1"/>
      <c r="L1" s="233" t="s">
        <v>92</v>
      </c>
      <c r="M1"/>
      <c r="N1" s="233" t="s">
        <v>93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ht="13.5" thickBot="1" x14ac:dyDescent="0.25">
      <c r="C2" s="199"/>
      <c r="K2" s="100">
        <v>2001</v>
      </c>
      <c r="L2" s="100">
        <v>2279</v>
      </c>
      <c r="M2" s="100"/>
      <c r="N2" s="100">
        <f>L2*12</f>
        <v>27348</v>
      </c>
      <c r="V2" s="5"/>
      <c r="W2" s="5"/>
      <c r="X2" s="1"/>
    </row>
    <row r="3" spans="1:31" ht="16.5" thickBot="1" x14ac:dyDescent="0.3">
      <c r="A3" s="22" t="s">
        <v>12</v>
      </c>
      <c r="C3" s="407" t="s">
        <v>96</v>
      </c>
      <c r="D3" s="408"/>
      <c r="E3" s="199"/>
      <c r="F3" s="407" t="s">
        <v>97</v>
      </c>
      <c r="G3" s="408"/>
      <c r="H3" s="22"/>
      <c r="K3" s="100">
        <v>2002</v>
      </c>
      <c r="L3" s="100">
        <v>2352</v>
      </c>
      <c r="M3" s="101">
        <f t="shared" ref="M3:M9" si="0">SUM((L3/L2)-1)</f>
        <v>3.2031592803861253E-2</v>
      </c>
      <c r="N3" s="100">
        <f t="shared" ref="N3:N24" si="1">L3*12</f>
        <v>28224</v>
      </c>
      <c r="V3" s="49"/>
      <c r="W3" s="253"/>
      <c r="X3" s="162"/>
    </row>
    <row r="4" spans="1:31" ht="26.45" customHeight="1" x14ac:dyDescent="0.2">
      <c r="C4" s="15" t="s">
        <v>1</v>
      </c>
      <c r="D4" s="15" t="s">
        <v>5</v>
      </c>
      <c r="H4" s="403" t="s">
        <v>105</v>
      </c>
      <c r="I4" s="401" t="s">
        <v>77</v>
      </c>
      <c r="K4" s="100">
        <v>2003</v>
      </c>
      <c r="L4" s="100">
        <v>2432</v>
      </c>
      <c r="M4" s="101">
        <f t="shared" si="0"/>
        <v>3.4013605442176909E-2</v>
      </c>
      <c r="N4" s="100">
        <f t="shared" si="1"/>
        <v>29184</v>
      </c>
      <c r="V4" s="56"/>
      <c r="Y4" s="50"/>
    </row>
    <row r="5" spans="1:31" ht="13.9" customHeight="1" x14ac:dyDescent="0.2">
      <c r="A5" s="54">
        <f>SUM(A6:A7)</f>
        <v>0.99946836788942051</v>
      </c>
      <c r="B5" s="16" t="s">
        <v>2</v>
      </c>
      <c r="C5" s="86">
        <v>3.7620000000000001E-2</v>
      </c>
      <c r="D5" s="87">
        <f>$C$1*C5</f>
        <v>124.55982</v>
      </c>
      <c r="E5" s="162"/>
      <c r="F5" s="211">
        <v>2.76E-2</v>
      </c>
      <c r="G5" s="288">
        <f>$C$1*F5</f>
        <v>91.383600000000001</v>
      </c>
      <c r="H5" s="404"/>
      <c r="I5" s="402"/>
      <c r="K5" s="100">
        <v>2004</v>
      </c>
      <c r="L5" s="100">
        <v>2476</v>
      </c>
      <c r="M5" s="101">
        <f t="shared" si="0"/>
        <v>1.8092105263157965E-2</v>
      </c>
      <c r="N5" s="100">
        <f t="shared" si="1"/>
        <v>29712</v>
      </c>
      <c r="V5" s="56"/>
      <c r="Y5" s="50"/>
    </row>
    <row r="6" spans="1:31" ht="13.9" customHeight="1" thickBot="1" x14ac:dyDescent="0.25">
      <c r="A6" s="107">
        <f>C6/C5</f>
        <v>0.77352472089314195</v>
      </c>
      <c r="B6" s="66" t="s">
        <v>3</v>
      </c>
      <c r="C6" s="67">
        <v>2.9100000000000001E-2</v>
      </c>
      <c r="D6" s="68">
        <f>$C$1*C6</f>
        <v>96.350099999999998</v>
      </c>
      <c r="E6" s="6"/>
      <c r="G6" s="289"/>
      <c r="K6" s="100">
        <v>2005</v>
      </c>
      <c r="L6" s="100">
        <v>2516</v>
      </c>
      <c r="M6" s="101">
        <f t="shared" si="0"/>
        <v>1.6155088852988664E-2</v>
      </c>
      <c r="N6" s="100">
        <f t="shared" si="1"/>
        <v>30192</v>
      </c>
      <c r="P6" s="251" t="s">
        <v>78</v>
      </c>
      <c r="R6" s="1"/>
      <c r="S6" s="162"/>
      <c r="V6" s="5"/>
      <c r="W6" s="199"/>
      <c r="X6" s="1"/>
    </row>
    <row r="7" spans="1:31" ht="13.9" customHeight="1" thickBot="1" x14ac:dyDescent="0.25">
      <c r="A7" s="107">
        <f>C7/C5</f>
        <v>0.22594364699627859</v>
      </c>
      <c r="B7" s="66" t="s">
        <v>4</v>
      </c>
      <c r="C7" s="69">
        <v>8.5000000000000006E-3</v>
      </c>
      <c r="D7" s="68">
        <f>$C$1*C7</f>
        <v>28.143500000000003</v>
      </c>
      <c r="E7" s="6"/>
      <c r="F7" s="211">
        <v>1.41E-2</v>
      </c>
      <c r="G7" s="288">
        <f>$C$1*F7</f>
        <v>46.685099999999998</v>
      </c>
      <c r="H7" s="212" t="s">
        <v>71</v>
      </c>
      <c r="I7" s="225" t="s">
        <v>108</v>
      </c>
      <c r="J7" s="1"/>
      <c r="K7" s="100">
        <v>2006</v>
      </c>
      <c r="L7" s="100">
        <v>2589</v>
      </c>
      <c r="M7" s="101">
        <f t="shared" si="0"/>
        <v>2.9014308426073221E-2</v>
      </c>
      <c r="N7" s="100">
        <f t="shared" si="1"/>
        <v>31068</v>
      </c>
      <c r="P7" s="252" t="s">
        <v>65</v>
      </c>
      <c r="Q7" s="250">
        <f>$F$5*F11</f>
        <v>1.38E-2</v>
      </c>
      <c r="S7" s="50"/>
      <c r="V7" s="5"/>
      <c r="W7" s="199"/>
      <c r="X7" s="1"/>
    </row>
    <row r="8" spans="1:31" ht="13.9" customHeight="1" thickBot="1" x14ac:dyDescent="0.25">
      <c r="A8" s="107"/>
      <c r="C8" s="206"/>
      <c r="D8" s="210"/>
      <c r="E8" s="6"/>
      <c r="G8" s="289"/>
      <c r="H8" s="195"/>
      <c r="K8" s="100">
        <v>2007</v>
      </c>
      <c r="L8" s="100">
        <v>2682</v>
      </c>
      <c r="M8" s="101">
        <f t="shared" si="0"/>
        <v>3.5921205098493614E-2</v>
      </c>
      <c r="N8" s="100">
        <f t="shared" si="1"/>
        <v>32184</v>
      </c>
      <c r="P8" s="252" t="s">
        <v>64</v>
      </c>
      <c r="Q8" s="250">
        <f>$F$5*F12</f>
        <v>9.1631999999999998E-4</v>
      </c>
      <c r="S8" s="50"/>
    </row>
    <row r="9" spans="1:31" ht="13.9" customHeight="1" thickBot="1" x14ac:dyDescent="0.3">
      <c r="A9" s="107"/>
      <c r="B9" s="20" t="s">
        <v>10</v>
      </c>
      <c r="C9" s="14"/>
      <c r="D9" s="227">
        <v>4190</v>
      </c>
      <c r="G9" s="289"/>
      <c r="H9" s="195"/>
      <c r="K9" s="100">
        <v>2008</v>
      </c>
      <c r="L9" s="100">
        <v>2773</v>
      </c>
      <c r="M9" s="101">
        <f t="shared" si="0"/>
        <v>3.392990305741983E-2</v>
      </c>
      <c r="N9" s="100">
        <f t="shared" si="1"/>
        <v>33276</v>
      </c>
      <c r="P9" s="252" t="s">
        <v>58</v>
      </c>
      <c r="Q9" s="250">
        <f>$F$5*F13</f>
        <v>1.288368E-2</v>
      </c>
      <c r="S9" s="50"/>
    </row>
    <row r="10" spans="1:31" ht="13.9" customHeight="1" x14ac:dyDescent="0.2">
      <c r="A10" s="107"/>
      <c r="D10" s="210"/>
      <c r="G10" s="290" t="s">
        <v>78</v>
      </c>
      <c r="H10" s="195"/>
      <c r="I10" s="274" t="s">
        <v>79</v>
      </c>
      <c r="K10" s="100">
        <v>2009</v>
      </c>
      <c r="L10" s="100">
        <v>2859</v>
      </c>
      <c r="M10" s="101">
        <f t="shared" ref="M10:M24" si="2">SUM((L10/L9)-1)</f>
        <v>3.101334294987379E-2</v>
      </c>
      <c r="N10" s="100">
        <f t="shared" si="1"/>
        <v>34308</v>
      </c>
      <c r="P10" s="249" t="s">
        <v>95</v>
      </c>
      <c r="Q10" s="250">
        <f>$F$7</f>
        <v>1.41E-2</v>
      </c>
      <c r="S10" s="50"/>
    </row>
    <row r="11" spans="1:31" ht="13.9" customHeight="1" x14ac:dyDescent="0.2">
      <c r="A11" s="107"/>
      <c r="C11" s="223" t="s">
        <v>4</v>
      </c>
      <c r="D11" s="96">
        <f>D7</f>
        <v>28.143500000000003</v>
      </c>
      <c r="E11" s="217"/>
      <c r="F11" s="202">
        <v>0.5</v>
      </c>
      <c r="G11" s="97">
        <f>$C$1*Q7</f>
        <v>45.691800000000001</v>
      </c>
      <c r="H11" s="219">
        <v>0.5</v>
      </c>
      <c r="I11" s="97">
        <f>$C$1*Q13</f>
        <v>45.691800000000001</v>
      </c>
      <c r="K11" s="100">
        <v>2010</v>
      </c>
      <c r="L11" s="100">
        <v>2885</v>
      </c>
      <c r="M11" s="101">
        <f t="shared" si="2"/>
        <v>9.0940888422526012E-3</v>
      </c>
      <c r="N11" s="100">
        <f t="shared" si="1"/>
        <v>34620</v>
      </c>
      <c r="P11" s="5"/>
      <c r="Q11" s="199"/>
      <c r="R11" s="1"/>
      <c r="AD11" s="50"/>
    </row>
    <row r="12" spans="1:31" ht="13.9" customHeight="1" x14ac:dyDescent="0.2">
      <c r="A12" s="107"/>
      <c r="C12" s="223" t="s">
        <v>9</v>
      </c>
      <c r="D12" s="96">
        <f>IF(D9&lt;C1,D6-D13,3)</f>
        <v>3</v>
      </c>
      <c r="E12" s="217"/>
      <c r="F12" s="202">
        <v>3.32E-2</v>
      </c>
      <c r="G12" s="97">
        <f>$C$1*Q8</f>
        <v>3.03393552</v>
      </c>
      <c r="H12" s="219">
        <v>0.2</v>
      </c>
      <c r="I12" s="97">
        <f>$C$1*Q14</f>
        <v>18.276720000000001</v>
      </c>
      <c r="K12" s="100">
        <v>2011</v>
      </c>
      <c r="L12" s="100">
        <v>2946</v>
      </c>
      <c r="M12" s="101">
        <f t="shared" si="2"/>
        <v>2.1143847487001821E-2</v>
      </c>
      <c r="N12" s="100">
        <f t="shared" si="1"/>
        <v>35352</v>
      </c>
      <c r="P12" s="251" t="s">
        <v>79</v>
      </c>
      <c r="R12" s="1"/>
      <c r="S12" s="162"/>
    </row>
    <row r="13" spans="1:31" ht="13.9" customHeight="1" x14ac:dyDescent="0.2">
      <c r="A13" s="107"/>
      <c r="C13" s="213" t="s">
        <v>39</v>
      </c>
      <c r="D13" s="168">
        <f>IF(D9&lt;C1,D9*L26,D6-N27)</f>
        <v>93.350099999999998</v>
      </c>
      <c r="E13" s="217"/>
      <c r="F13" s="202">
        <f>F11-F12</f>
        <v>0.46679999999999999</v>
      </c>
      <c r="G13" s="97">
        <f>$C$1*Q9</f>
        <v>42.657864480000001</v>
      </c>
      <c r="H13" s="219">
        <f>H11-H12</f>
        <v>0.3</v>
      </c>
      <c r="I13" s="97">
        <f>$C$1*Q15</f>
        <v>27.415079999999996</v>
      </c>
      <c r="K13" s="100">
        <v>2012</v>
      </c>
      <c r="L13" s="100">
        <v>3031</v>
      </c>
      <c r="M13" s="101">
        <f t="shared" si="2"/>
        <v>2.8852681602172359E-2</v>
      </c>
      <c r="N13" s="100">
        <f t="shared" si="1"/>
        <v>36372</v>
      </c>
      <c r="P13" s="252" t="s">
        <v>65</v>
      </c>
      <c r="Q13" s="250">
        <f>$F$5*H11</f>
        <v>1.38E-2</v>
      </c>
      <c r="S13" s="50"/>
    </row>
    <row r="14" spans="1:31" ht="16.5" customHeight="1" x14ac:dyDescent="0.2">
      <c r="C14" s="223" t="s">
        <v>95</v>
      </c>
      <c r="D14" s="96">
        <v>0</v>
      </c>
      <c r="E14" s="217"/>
      <c r="F14" s="224"/>
      <c r="G14" s="97">
        <f>IF(I7="oui",Q10*$C$1,"")</f>
        <v>46.685099999999998</v>
      </c>
      <c r="H14" s="202"/>
      <c r="I14" s="97">
        <f>IF(I7="oui",Q10*$C$1,"")</f>
        <v>46.685099999999998</v>
      </c>
      <c r="K14" s="100">
        <v>2013</v>
      </c>
      <c r="L14" s="100">
        <v>3086</v>
      </c>
      <c r="M14" s="101">
        <f t="shared" si="2"/>
        <v>1.8145826459914138E-2</v>
      </c>
      <c r="N14" s="100">
        <f t="shared" si="1"/>
        <v>37032</v>
      </c>
      <c r="P14" s="252" t="s">
        <v>64</v>
      </c>
      <c r="Q14" s="250">
        <f>$F$5*H12</f>
        <v>5.5200000000000006E-3</v>
      </c>
      <c r="S14" s="50"/>
    </row>
    <row r="15" spans="1:31" ht="16.5" customHeight="1" x14ac:dyDescent="0.2">
      <c r="F15" s="214" t="s">
        <v>103</v>
      </c>
      <c r="G15" s="291">
        <f>SUM(G13:G14)</f>
        <v>89.342964480000006</v>
      </c>
      <c r="H15" s="195"/>
      <c r="I15" s="291">
        <f>SUM(I13:I14)</f>
        <v>74.100179999999995</v>
      </c>
      <c r="K15" s="100">
        <v>2014</v>
      </c>
      <c r="L15" s="100">
        <v>3129</v>
      </c>
      <c r="M15" s="101">
        <f t="shared" si="2"/>
        <v>1.393389500972142E-2</v>
      </c>
      <c r="N15" s="100">
        <f t="shared" si="1"/>
        <v>37548</v>
      </c>
      <c r="P15" s="252" t="s">
        <v>66</v>
      </c>
      <c r="Q15" s="250">
        <f>$F$5*H13</f>
        <v>8.2799999999999992E-3</v>
      </c>
      <c r="S15" s="50"/>
    </row>
    <row r="16" spans="1:31" ht="16.5" customHeight="1" thickBot="1" x14ac:dyDescent="0.25">
      <c r="E16" s="40"/>
      <c r="K16" s="100">
        <v>2015</v>
      </c>
      <c r="L16" s="100">
        <v>3170</v>
      </c>
      <c r="M16" s="101">
        <f t="shared" si="2"/>
        <v>1.3103227868328515E-2</v>
      </c>
      <c r="N16" s="100">
        <f t="shared" si="1"/>
        <v>38040</v>
      </c>
      <c r="P16" s="249" t="s">
        <v>70</v>
      </c>
      <c r="Q16" s="250">
        <v>1.41E-2</v>
      </c>
      <c r="S16" s="50"/>
    </row>
    <row r="17" spans="1:25" ht="16.5" customHeight="1" thickBot="1" x14ac:dyDescent="0.25">
      <c r="A17" s="409" t="s">
        <v>89</v>
      </c>
      <c r="B17" s="410"/>
      <c r="C17" s="410"/>
      <c r="D17" s="410"/>
      <c r="E17" s="410"/>
      <c r="F17" s="410"/>
      <c r="G17" s="411"/>
      <c r="H17" s="195"/>
      <c r="K17" s="100">
        <v>2016</v>
      </c>
      <c r="L17" s="100">
        <v>3218</v>
      </c>
      <c r="M17" s="101">
        <f t="shared" si="2"/>
        <v>1.5141955835962229E-2</v>
      </c>
      <c r="N17" s="100">
        <f t="shared" si="1"/>
        <v>38616</v>
      </c>
      <c r="Q17" s="24"/>
    </row>
    <row r="18" spans="1:25" ht="16.5" customHeight="1" thickBot="1" x14ac:dyDescent="0.25">
      <c r="A18" s="273" t="s">
        <v>90</v>
      </c>
      <c r="B18" s="204"/>
      <c r="C18" s="204"/>
      <c r="D18" s="204"/>
      <c r="E18" s="215"/>
      <c r="F18" s="2"/>
      <c r="G18" s="2"/>
      <c r="H18" s="195"/>
      <c r="K18" s="100">
        <v>2017</v>
      </c>
      <c r="L18" s="100">
        <v>3269</v>
      </c>
      <c r="M18" s="241">
        <f t="shared" si="2"/>
        <v>1.5848353014294547E-2</v>
      </c>
      <c r="N18" s="100">
        <f t="shared" si="1"/>
        <v>39228</v>
      </c>
      <c r="Q18" s="1"/>
      <c r="R18" s="208"/>
      <c r="S18" s="28"/>
    </row>
    <row r="19" spans="1:25" ht="16.5" customHeight="1" thickBot="1" x14ac:dyDescent="0.25">
      <c r="A19" s="225">
        <v>0</v>
      </c>
      <c r="B19" s="223" t="s">
        <v>7</v>
      </c>
      <c r="C19" s="267">
        <v>4.3319999999999999E-3</v>
      </c>
      <c r="D19" s="268">
        <f>$C$1*C19</f>
        <v>14.343252</v>
      </c>
      <c r="E19" s="292"/>
      <c r="F19" s="236"/>
      <c r="G19" s="205"/>
      <c r="H19" s="195"/>
      <c r="K19" s="160">
        <v>2018</v>
      </c>
      <c r="L19" s="160">
        <v>3311</v>
      </c>
      <c r="M19" s="242">
        <f t="shared" si="2"/>
        <v>1.2847965738758127E-2</v>
      </c>
      <c r="N19" s="160">
        <f t="shared" si="1"/>
        <v>39732</v>
      </c>
      <c r="Q19" s="162"/>
      <c r="R19" s="162"/>
      <c r="S19" s="6"/>
    </row>
    <row r="20" spans="1:25" ht="16.5" customHeight="1" x14ac:dyDescent="0.2">
      <c r="A20" s="269">
        <v>1</v>
      </c>
      <c r="B20" s="264" t="s">
        <v>58</v>
      </c>
      <c r="C20" s="267">
        <f>C19*A20</f>
        <v>4.3319999999999999E-3</v>
      </c>
      <c r="D20" s="268">
        <f t="shared" ref="D20:D21" si="3">$C$1*C20</f>
        <v>14.343252</v>
      </c>
      <c r="E20" s="293"/>
      <c r="F20" s="238">
        <f>D20*$A$19</f>
        <v>0</v>
      </c>
      <c r="H20" s="209"/>
      <c r="K20" s="100">
        <v>2019</v>
      </c>
      <c r="L20" s="100"/>
      <c r="M20" s="101">
        <f t="shared" si="2"/>
        <v>-1</v>
      </c>
      <c r="N20" s="100">
        <f t="shared" si="1"/>
        <v>0</v>
      </c>
      <c r="P20" s="27"/>
      <c r="Q20" s="6"/>
      <c r="R20" s="6"/>
      <c r="S20" s="6"/>
    </row>
    <row r="21" spans="1:25" ht="16.5" customHeight="1" x14ac:dyDescent="0.2">
      <c r="A21" s="269">
        <v>0</v>
      </c>
      <c r="B21" s="264" t="s">
        <v>61</v>
      </c>
      <c r="C21" s="267">
        <f>C19*A21</f>
        <v>0</v>
      </c>
      <c r="D21" s="268">
        <f t="shared" si="3"/>
        <v>0</v>
      </c>
      <c r="E21" s="292"/>
      <c r="F21" s="236"/>
      <c r="H21" s="205"/>
      <c r="K21" s="100">
        <v>2020</v>
      </c>
      <c r="L21" s="100"/>
      <c r="M21" s="101" t="e">
        <f t="shared" si="2"/>
        <v>#DIV/0!</v>
      </c>
      <c r="N21" s="100">
        <f t="shared" si="1"/>
        <v>0</v>
      </c>
      <c r="P21" s="27"/>
      <c r="Q21" s="28"/>
      <c r="R21" s="28"/>
      <c r="S21" s="6"/>
    </row>
    <row r="22" spans="1:25" ht="16.5" customHeight="1" thickBot="1" x14ac:dyDescent="0.25">
      <c r="A22" s="4"/>
      <c r="B22" s="3"/>
      <c r="C22" s="3"/>
      <c r="D22" s="236"/>
      <c r="E22" s="236"/>
      <c r="F22" s="236"/>
      <c r="H22" s="205"/>
      <c r="K22" s="100">
        <v>2021</v>
      </c>
      <c r="L22" s="100"/>
      <c r="M22" s="101" t="e">
        <f t="shared" si="2"/>
        <v>#DIV/0!</v>
      </c>
      <c r="N22" s="100">
        <f t="shared" si="1"/>
        <v>0</v>
      </c>
      <c r="P22" s="27"/>
      <c r="Q22" s="6"/>
      <c r="R22" s="6"/>
      <c r="S22" s="6"/>
    </row>
    <row r="23" spans="1:25" ht="13.15" customHeight="1" thickBot="1" x14ac:dyDescent="0.25">
      <c r="A23" s="273" t="s">
        <v>91</v>
      </c>
      <c r="B23" s="3"/>
      <c r="C23" s="3"/>
      <c r="D23" s="236"/>
      <c r="E23" s="236"/>
      <c r="F23" s="236"/>
      <c r="H23" s="205"/>
      <c r="K23" s="100">
        <v>2022</v>
      </c>
      <c r="L23" s="100"/>
      <c r="M23" s="101" t="e">
        <f t="shared" si="2"/>
        <v>#DIV/0!</v>
      </c>
      <c r="N23" s="100">
        <f t="shared" si="1"/>
        <v>0</v>
      </c>
    </row>
    <row r="24" spans="1:25" ht="13.15" customHeight="1" thickBot="1" x14ac:dyDescent="0.25">
      <c r="A24" s="225">
        <v>0</v>
      </c>
      <c r="B24" s="223" t="s">
        <v>8</v>
      </c>
      <c r="C24" s="267">
        <v>1.7099999999999999E-3</v>
      </c>
      <c r="D24" s="268">
        <f>$C$1*C24</f>
        <v>5.66181</v>
      </c>
      <c r="E24" s="292"/>
      <c r="F24" s="236"/>
      <c r="H24" s="205"/>
      <c r="K24" s="100">
        <v>2023</v>
      </c>
      <c r="L24" s="100"/>
      <c r="M24" s="101" t="e">
        <f t="shared" si="2"/>
        <v>#DIV/0!</v>
      </c>
      <c r="N24" s="100">
        <f t="shared" si="1"/>
        <v>0</v>
      </c>
    </row>
    <row r="25" spans="1:25" ht="13.15" customHeight="1" thickBot="1" x14ac:dyDescent="0.25">
      <c r="A25" s="269">
        <v>1</v>
      </c>
      <c r="B25" s="264" t="s">
        <v>58</v>
      </c>
      <c r="C25" s="267">
        <f>C24*A25</f>
        <v>1.7099999999999999E-3</v>
      </c>
      <c r="D25" s="268">
        <f t="shared" ref="D25:D26" si="4">$C$1*C25</f>
        <v>5.66181</v>
      </c>
      <c r="E25" s="293"/>
      <c r="F25" s="238">
        <f>D25*$A$24</f>
        <v>0</v>
      </c>
      <c r="H25" s="209"/>
      <c r="R25" s="50"/>
      <c r="S25" s="127"/>
      <c r="T25" s="127"/>
      <c r="U25" s="127"/>
    </row>
    <row r="26" spans="1:25" ht="13.9" customHeight="1" thickBot="1" x14ac:dyDescent="0.25">
      <c r="A26" s="269">
        <v>0</v>
      </c>
      <c r="B26" s="264" t="s">
        <v>61</v>
      </c>
      <c r="C26" s="267">
        <f>C24*A26</f>
        <v>0</v>
      </c>
      <c r="D26" s="268">
        <f t="shared" si="4"/>
        <v>0</v>
      </c>
      <c r="E26" s="292"/>
      <c r="F26" s="236"/>
      <c r="H26" s="205"/>
      <c r="L26" s="244">
        <v>2.3630000000000002E-2</v>
      </c>
      <c r="M26" s="5"/>
      <c r="N26" s="1"/>
      <c r="R26" s="50"/>
      <c r="S26" s="158"/>
      <c r="T26" s="159"/>
      <c r="U26" s="158"/>
    </row>
    <row r="27" spans="1:25" ht="13.9" customHeight="1" thickBot="1" x14ac:dyDescent="0.25">
      <c r="A27" s="4"/>
      <c r="B27" s="3"/>
      <c r="C27" s="3"/>
      <c r="D27" s="236"/>
      <c r="E27" s="236"/>
      <c r="F27" s="294" t="s">
        <v>92</v>
      </c>
      <c r="H27" s="226"/>
      <c r="L27" s="9"/>
      <c r="M27" s="10" t="s">
        <v>11</v>
      </c>
      <c r="N27" s="11">
        <v>3</v>
      </c>
      <c r="R27" s="50"/>
      <c r="S27" s="127"/>
      <c r="T27" s="127"/>
      <c r="U27" s="127"/>
    </row>
    <row r="28" spans="1:25" ht="13.15" customHeight="1" x14ac:dyDescent="0.2">
      <c r="D28" s="292"/>
      <c r="E28" s="236"/>
      <c r="F28" s="240">
        <f>SUM(F20,F25)</f>
        <v>0</v>
      </c>
      <c r="H28" s="209"/>
      <c r="R28" s="50"/>
    </row>
    <row r="29" spans="1:25" ht="13.15" customHeight="1" x14ac:dyDescent="0.2">
      <c r="E29" s="6"/>
      <c r="F29" s="6"/>
      <c r="G29" s="6"/>
      <c r="H29" s="195"/>
    </row>
    <row r="30" spans="1:25" ht="13.15" customHeight="1" x14ac:dyDescent="0.2">
      <c r="A30" s="31"/>
      <c r="B30" s="49"/>
      <c r="D30" s="7"/>
      <c r="E30" s="7"/>
      <c r="F30" s="6"/>
      <c r="H30" s="195"/>
    </row>
    <row r="31" spans="1:25" ht="15.75" x14ac:dyDescent="0.25">
      <c r="A31" s="400" t="s">
        <v>100</v>
      </c>
      <c r="B31" s="400"/>
      <c r="C31" s="400"/>
      <c r="D31" s="400"/>
      <c r="E31" s="400"/>
      <c r="F31" s="400"/>
      <c r="G31" s="400"/>
      <c r="H31" s="400"/>
      <c r="I31" s="400"/>
      <c r="J31" s="1"/>
      <c r="K31" s="1"/>
      <c r="L31" s="400" t="s">
        <v>101</v>
      </c>
      <c r="M31" s="400"/>
      <c r="N31" s="400"/>
      <c r="O31" s="400"/>
      <c r="P31" s="400"/>
      <c r="Q31" s="400"/>
      <c r="R31" s="400"/>
      <c r="S31" s="400"/>
      <c r="T31" s="400"/>
      <c r="U31" s="29"/>
      <c r="V31" s="29"/>
      <c r="W31" s="29"/>
      <c r="X31" s="29"/>
      <c r="Y31" s="29"/>
    </row>
    <row r="32" spans="1:25" ht="15.75" x14ac:dyDescent="0.25">
      <c r="A32" s="22"/>
      <c r="B32" s="229">
        <f>C1</f>
        <v>3311</v>
      </c>
      <c r="C32" s="229">
        <f>C1*4</f>
        <v>13244</v>
      </c>
      <c r="D32" s="229">
        <f>C1*8</f>
        <v>26488</v>
      </c>
      <c r="I32" s="5"/>
      <c r="J32" s="1"/>
      <c r="K32" s="1"/>
      <c r="P32" s="1"/>
      <c r="T32" s="5"/>
      <c r="U32" s="29"/>
      <c r="V32" s="29"/>
      <c r="W32" s="29"/>
      <c r="X32" s="29"/>
      <c r="Y32" s="29"/>
    </row>
    <row r="33" spans="1:25" ht="36" x14ac:dyDescent="0.2">
      <c r="A33" s="174"/>
      <c r="B33" s="173" t="s">
        <v>80</v>
      </c>
      <c r="C33" s="173" t="s">
        <v>81</v>
      </c>
      <c r="D33" s="173" t="s">
        <v>82</v>
      </c>
      <c r="E33"/>
      <c r="G33" s="56"/>
      <c r="I33"/>
      <c r="J33" s="1"/>
      <c r="R33" s="56"/>
      <c r="U33" s="29"/>
      <c r="V33" s="29"/>
      <c r="W33" s="29"/>
      <c r="X33" s="29"/>
      <c r="Y33" s="29"/>
    </row>
    <row r="34" spans="1:25" ht="13.15" customHeight="1" x14ac:dyDescent="0.25">
      <c r="B34" s="228"/>
      <c r="C34" s="228">
        <v>4190</v>
      </c>
      <c r="D34" s="228"/>
      <c r="E34" s="412" t="s">
        <v>106</v>
      </c>
      <c r="F34" s="413"/>
      <c r="G34" s="413"/>
      <c r="H34" s="413"/>
      <c r="I34"/>
      <c r="Q34" s="218"/>
      <c r="R34" s="218"/>
      <c r="S34" s="29"/>
      <c r="U34" s="29"/>
      <c r="V34" s="29"/>
      <c r="W34" s="29"/>
      <c r="X34" s="29"/>
      <c r="Y34" s="29"/>
    </row>
    <row r="35" spans="1:25" x14ac:dyDescent="0.2">
      <c r="A35" s="176" t="s">
        <v>83</v>
      </c>
      <c r="B35" s="170">
        <f>IF(B34&gt;C1,"ERREUR",B34)</f>
        <v>0</v>
      </c>
      <c r="C35" s="95">
        <f>IF(C34&gt;C32,"ERREUR",C34-C1)</f>
        <v>879</v>
      </c>
      <c r="D35" s="95">
        <f>IF(D34&gt;D32,"ERREUR",D34-C32)</f>
        <v>-13244</v>
      </c>
      <c r="E35"/>
      <c r="F35" s="29"/>
      <c r="G35" s="56"/>
      <c r="H35" s="29"/>
      <c r="I35"/>
      <c r="L35"/>
      <c r="M35"/>
      <c r="Q35" s="29"/>
      <c r="R35" s="56"/>
      <c r="S35" s="29"/>
    </row>
    <row r="36" spans="1:25" x14ac:dyDescent="0.2">
      <c r="A36" s="5"/>
      <c r="B36" s="1"/>
      <c r="D36"/>
      <c r="E36"/>
      <c r="G36" s="56"/>
      <c r="I36"/>
      <c r="L36" s="5"/>
      <c r="M36" s="1"/>
      <c r="N36" s="1"/>
      <c r="R36" s="56"/>
      <c r="U36" s="1"/>
      <c r="V36" s="1"/>
      <c r="W36" s="1"/>
      <c r="X36" s="1"/>
      <c r="Y36" s="1"/>
    </row>
    <row r="37" spans="1:25" ht="15.75" customHeight="1" x14ac:dyDescent="0.2">
      <c r="A37" s="5"/>
      <c r="B37" s="1"/>
      <c r="C37" s="28" t="s">
        <v>72</v>
      </c>
      <c r="D37" s="405" t="s">
        <v>18</v>
      </c>
      <c r="E37" s="405"/>
      <c r="F37" s="405"/>
      <c r="G37" s="406" t="s">
        <v>19</v>
      </c>
      <c r="H37" s="406"/>
      <c r="I37" s="406"/>
      <c r="L37" s="5"/>
      <c r="M37" s="1"/>
      <c r="N37" s="28" t="s">
        <v>72</v>
      </c>
      <c r="O37" s="405" t="s">
        <v>18</v>
      </c>
      <c r="P37" s="405"/>
      <c r="Q37" s="405"/>
      <c r="R37" s="406" t="s">
        <v>19</v>
      </c>
      <c r="S37" s="406"/>
      <c r="T37" s="406"/>
    </row>
    <row r="38" spans="1:25" s="29" customFormat="1" x14ac:dyDescent="0.2">
      <c r="A38" s="399" t="s">
        <v>63</v>
      </c>
      <c r="B38" s="169" t="s">
        <v>74</v>
      </c>
      <c r="C38" s="171">
        <v>1.44E-2</v>
      </c>
      <c r="D38" s="179">
        <v>1</v>
      </c>
      <c r="E38" s="180">
        <f>C38*D38</f>
        <v>1.44E-2</v>
      </c>
      <c r="F38" s="178" t="str">
        <f>IF($B$34="","",E38*$B$35)</f>
        <v/>
      </c>
      <c r="G38" s="179">
        <v>0</v>
      </c>
      <c r="H38" s="181">
        <f>G38*C38</f>
        <v>0</v>
      </c>
      <c r="I38" s="177" t="str">
        <f>IF($B$34="","",H38*$B$35)</f>
        <v/>
      </c>
      <c r="L38" s="399" t="s">
        <v>63</v>
      </c>
      <c r="M38" s="169" t="s">
        <v>74</v>
      </c>
      <c r="N38" s="171">
        <v>1.44E-2</v>
      </c>
      <c r="O38" s="179">
        <v>1</v>
      </c>
      <c r="P38" s="180">
        <f>N38*O38</f>
        <v>1.44E-2</v>
      </c>
      <c r="Q38" s="178" t="str">
        <f>IF($B$34="","",P38*$B$35)</f>
        <v/>
      </c>
      <c r="R38" s="179">
        <v>0</v>
      </c>
      <c r="S38" s="181">
        <f>R38*N38</f>
        <v>0</v>
      </c>
      <c r="T38" s="177" t="str">
        <f>IF($B$34="","",S38*$B$35)</f>
        <v/>
      </c>
      <c r="U38"/>
      <c r="V38"/>
      <c r="W38"/>
      <c r="X38"/>
      <c r="Y38"/>
    </row>
    <row r="39" spans="1:25" s="29" customFormat="1" x14ac:dyDescent="0.2">
      <c r="A39" s="399"/>
      <c r="B39" s="169" t="s">
        <v>75</v>
      </c>
      <c r="C39" s="171">
        <v>1.6799999999999999E-2</v>
      </c>
      <c r="D39" s="219">
        <v>0.51429999999999998</v>
      </c>
      <c r="E39" s="180">
        <f t="shared" ref="E39:E40" si="5">C39*D39</f>
        <v>8.6402399999999987E-3</v>
      </c>
      <c r="F39" s="178">
        <f>IF($C$34="","",(E39*$C$35)+($C$1*E38))</f>
        <v>55.273170959999995</v>
      </c>
      <c r="G39" s="219">
        <f>D38-D39</f>
        <v>0.48570000000000002</v>
      </c>
      <c r="H39" s="181">
        <f t="shared" ref="H39:H40" si="6">G39*C39</f>
        <v>8.1597600000000003E-3</v>
      </c>
      <c r="I39" s="177">
        <f>IF($C$34="","",(H39*$C$35)+($C$1*H38))</f>
        <v>7.1724290399999999</v>
      </c>
      <c r="L39" s="399"/>
      <c r="M39" s="169" t="s">
        <v>75</v>
      </c>
      <c r="N39" s="171">
        <v>1.6799999999999999E-2</v>
      </c>
      <c r="O39" s="179">
        <v>0.52</v>
      </c>
      <c r="P39" s="180">
        <f t="shared" ref="P39:P44" si="7">N39*O39</f>
        <v>8.735999999999999E-3</v>
      </c>
      <c r="Q39" s="178">
        <f>IF($C$34="","",(P39*$C$35)+($C$1*P38))</f>
        <v>55.357343999999998</v>
      </c>
      <c r="R39" s="179">
        <f>O38-O39</f>
        <v>0.48</v>
      </c>
      <c r="S39" s="181">
        <f t="shared" ref="S39:S44" si="8">R39*N39</f>
        <v>8.064E-3</v>
      </c>
      <c r="T39" s="177">
        <f>IF($C$34="","",(S39*$C$35)+($C$1*S38))</f>
        <v>7.0882560000000003</v>
      </c>
      <c r="U39"/>
      <c r="V39"/>
      <c r="W39"/>
      <c r="X39"/>
      <c r="Y39"/>
    </row>
    <row r="40" spans="1:25" s="29" customFormat="1" x14ac:dyDescent="0.2">
      <c r="A40" s="399"/>
      <c r="B40" s="169" t="s">
        <v>76</v>
      </c>
      <c r="C40" s="171">
        <v>1.6799999999999999E-2</v>
      </c>
      <c r="D40" s="219">
        <v>0.60909999999999997</v>
      </c>
      <c r="E40" s="180">
        <f t="shared" si="5"/>
        <v>1.023288E-2</v>
      </c>
      <c r="F40" s="178" t="str">
        <f>IF($D$34="","",(E40*$D$35)+(($C$32-$C$1)*E39)+($C$1*E38))</f>
        <v/>
      </c>
      <c r="G40" s="219">
        <f>D38-D40</f>
        <v>0.39090000000000003</v>
      </c>
      <c r="H40" s="181">
        <f t="shared" si="6"/>
        <v>6.5671200000000001E-3</v>
      </c>
      <c r="I40" s="177" t="str">
        <f>IF($D$34="","",(H40*$D$35)+(($C$32-$C$1)*H39)+($C$1*H38))</f>
        <v/>
      </c>
      <c r="L40" s="399"/>
      <c r="M40" s="169" t="s">
        <v>76</v>
      </c>
      <c r="N40" s="171">
        <v>1.6799999999999999E-2</v>
      </c>
      <c r="O40" s="179">
        <v>0.52</v>
      </c>
      <c r="P40" s="180">
        <f t="shared" si="7"/>
        <v>8.735999999999999E-3</v>
      </c>
      <c r="Q40" s="178" t="str">
        <f>IF($D$34="","",(P40*$D$35)+(($C$32-$C$1)*P39)+($C$1*P38))</f>
        <v/>
      </c>
      <c r="R40" s="179">
        <f>O38-O40</f>
        <v>0.48</v>
      </c>
      <c r="S40" s="181">
        <f t="shared" si="8"/>
        <v>8.064E-3</v>
      </c>
      <c r="T40" s="177" t="str">
        <f>IF($D$34="","",(S40*$D$35)+(($C$32-$C$1)*S39)+($C$1*S38))</f>
        <v/>
      </c>
      <c r="U40"/>
      <c r="V40"/>
      <c r="W40"/>
      <c r="X40"/>
      <c r="Y40"/>
    </row>
    <row r="41" spans="1:25" s="29" customFormat="1" x14ac:dyDescent="0.2">
      <c r="A41" s="186"/>
      <c r="B41" s="187"/>
      <c r="C41" s="188"/>
      <c r="D41" s="220"/>
      <c r="E41" s="193"/>
      <c r="F41" s="194"/>
      <c r="G41" s="220"/>
      <c r="H41" s="193"/>
      <c r="I41" s="194"/>
      <c r="L41" s="186"/>
      <c r="M41" s="187"/>
      <c r="N41" s="188"/>
      <c r="O41" s="189"/>
      <c r="P41" s="193"/>
      <c r="Q41" s="194"/>
      <c r="R41" s="189"/>
      <c r="S41" s="193"/>
      <c r="T41" s="194"/>
      <c r="U41"/>
      <c r="V41"/>
      <c r="W41"/>
      <c r="X41"/>
      <c r="Y41"/>
    </row>
    <row r="42" spans="1:25" x14ac:dyDescent="0.2">
      <c r="A42" s="182"/>
      <c r="B42" s="183"/>
      <c r="C42" s="184"/>
      <c r="D42" s="221"/>
      <c r="E42" s="190"/>
      <c r="F42" s="191"/>
      <c r="G42" s="221"/>
      <c r="H42" s="192"/>
      <c r="I42" s="191"/>
      <c r="L42" s="182"/>
      <c r="M42" s="183"/>
      <c r="N42" s="184"/>
      <c r="O42" s="185"/>
      <c r="P42" s="190"/>
      <c r="Q42" s="191"/>
      <c r="R42" s="185"/>
      <c r="S42" s="192"/>
      <c r="T42" s="191"/>
    </row>
    <row r="43" spans="1:25" s="1" customFormat="1" x14ac:dyDescent="0.2">
      <c r="A43" s="399" t="s">
        <v>73</v>
      </c>
      <c r="B43" s="169" t="s">
        <v>74</v>
      </c>
      <c r="C43" s="171">
        <v>1.44E-2</v>
      </c>
      <c r="D43" s="219">
        <v>0.56530000000000002</v>
      </c>
      <c r="E43" s="180">
        <f t="shared" ref="E43:E44" si="9">C43*D43</f>
        <v>8.1403199999999995E-3</v>
      </c>
      <c r="F43" s="178" t="str">
        <f>IF($B$34="","",E43*$B$35)</f>
        <v/>
      </c>
      <c r="G43" s="219">
        <f>D38-D43</f>
        <v>0.43469999999999998</v>
      </c>
      <c r="H43" s="181">
        <f t="shared" ref="H43:H44" si="10">G43*C43</f>
        <v>6.2596799999999992E-3</v>
      </c>
      <c r="I43" s="177" t="str">
        <f>IF($B$34="","",H43*$B$35)</f>
        <v/>
      </c>
      <c r="L43" s="232" t="s">
        <v>73</v>
      </c>
      <c r="M43" s="169" t="s">
        <v>74</v>
      </c>
      <c r="N43" s="171">
        <v>1.44E-2</v>
      </c>
      <c r="O43" s="179">
        <v>0.85</v>
      </c>
      <c r="P43" s="180">
        <f t="shared" si="7"/>
        <v>1.2239999999999999E-2</v>
      </c>
      <c r="Q43" s="178" t="str">
        <f>IF($B$34="","",P43*$B$35)</f>
        <v/>
      </c>
      <c r="R43" s="179">
        <f>O38-O43</f>
        <v>0.15000000000000002</v>
      </c>
      <c r="S43" s="181">
        <f t="shared" si="8"/>
        <v>2.1600000000000005E-3</v>
      </c>
      <c r="T43" s="177" t="str">
        <f>IF($B$34="","",S43*$B$35)</f>
        <v/>
      </c>
      <c r="U43"/>
      <c r="V43"/>
      <c r="W43"/>
      <c r="X43"/>
      <c r="Y43"/>
    </row>
    <row r="44" spans="1:25" x14ac:dyDescent="0.2">
      <c r="A44" s="399"/>
      <c r="B44" s="169" t="s">
        <v>75</v>
      </c>
      <c r="C44" s="171">
        <v>1.6799999999999999E-2</v>
      </c>
      <c r="D44" s="219">
        <v>0.51429999999999998</v>
      </c>
      <c r="E44" s="180">
        <f t="shared" si="9"/>
        <v>8.6402399999999987E-3</v>
      </c>
      <c r="F44" s="178">
        <f>IF($C$34="","",(E44*$C$35)+($C$1*E43))</f>
        <v>34.547370479999998</v>
      </c>
      <c r="G44" s="219">
        <f>D38-D44</f>
        <v>0.48570000000000002</v>
      </c>
      <c r="H44" s="181">
        <f t="shared" si="10"/>
        <v>8.1597600000000003E-3</v>
      </c>
      <c r="I44" s="177">
        <f>IF($C$34="","",(H44*$C$35)+($C$1*H43))</f>
        <v>27.898229519999997</v>
      </c>
      <c r="L44" s="232"/>
      <c r="M44" s="169" t="s">
        <v>75</v>
      </c>
      <c r="N44" s="171">
        <v>1.6799999999999999E-2</v>
      </c>
      <c r="O44" s="179">
        <v>0.52</v>
      </c>
      <c r="P44" s="180">
        <f t="shared" si="7"/>
        <v>8.735999999999999E-3</v>
      </c>
      <c r="Q44" s="178">
        <f>IF($C$34="","",(P44*$C$35)+($C$1*P43))</f>
        <v>48.205584000000002</v>
      </c>
      <c r="R44" s="179">
        <f>O38-O44</f>
        <v>0.48</v>
      </c>
      <c r="S44" s="181">
        <f t="shared" si="8"/>
        <v>8.064E-3</v>
      </c>
      <c r="T44" s="177">
        <f>IF($C$34="","",(S44*$C$35)+($C$1*S43))</f>
        <v>14.240016000000001</v>
      </c>
    </row>
    <row r="45" spans="1:25" x14ac:dyDescent="0.2">
      <c r="B45" s="1"/>
      <c r="D45" s="30"/>
      <c r="E45" s="30"/>
      <c r="F45" s="6"/>
      <c r="G45" s="1"/>
      <c r="H45" s="1"/>
      <c r="I45" s="6"/>
      <c r="M45" s="169" t="s">
        <v>76</v>
      </c>
      <c r="N45" s="171">
        <v>1.6799999999999999E-2</v>
      </c>
      <c r="O45" s="179">
        <v>0.52</v>
      </c>
      <c r="P45" s="180">
        <f t="shared" ref="P45" si="11">N45*O45</f>
        <v>8.735999999999999E-3</v>
      </c>
      <c r="Q45" s="178" t="str">
        <f>IF($D$34="","",(P45*$D$35)+(($C$32-$C$1)*P44)+($C$1*P43))</f>
        <v/>
      </c>
      <c r="R45" s="179">
        <f>O38-O45</f>
        <v>0.48</v>
      </c>
      <c r="S45" s="181">
        <f t="shared" ref="S45" si="12">R45*N45</f>
        <v>8.064E-3</v>
      </c>
      <c r="T45" s="177" t="str">
        <f>IF($D$34="","",(S45*$D$35)+(($C$32-$C$1)*S44)+($C$1*S43))</f>
        <v/>
      </c>
    </row>
    <row r="46" spans="1:25" x14ac:dyDescent="0.2">
      <c r="A46" s="207"/>
      <c r="B46" s="208"/>
      <c r="C46" s="8"/>
      <c r="F46" s="8"/>
      <c r="G46" s="8"/>
      <c r="H46" s="8"/>
      <c r="I46" s="8"/>
      <c r="T46" s="6"/>
    </row>
    <row r="47" spans="1:25" ht="15.75" x14ac:dyDescent="0.2">
      <c r="A47" s="31"/>
      <c r="B47" s="31"/>
      <c r="C47" s="418" t="s">
        <v>99</v>
      </c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25" x14ac:dyDescent="0.2">
      <c r="A48" s="5"/>
      <c r="B48" s="6"/>
      <c r="D48" s="419" t="s">
        <v>96</v>
      </c>
      <c r="E48" s="419"/>
      <c r="F48" s="419"/>
      <c r="G48" s="24"/>
      <c r="I48" s="6"/>
      <c r="L48" s="420" t="s">
        <v>97</v>
      </c>
      <c r="M48" s="420"/>
      <c r="N48" s="24"/>
      <c r="O48" s="199"/>
      <c r="P48" s="199"/>
    </row>
    <row r="49" spans="1:13" x14ac:dyDescent="0.2">
      <c r="A49" s="5"/>
      <c r="B49" s="30"/>
      <c r="D49" s="216" t="s">
        <v>78</v>
      </c>
      <c r="F49" s="231" t="s">
        <v>79</v>
      </c>
      <c r="I49" s="30"/>
      <c r="L49" s="216" t="s">
        <v>78</v>
      </c>
      <c r="M49" s="103" t="s">
        <v>79</v>
      </c>
    </row>
    <row r="50" spans="1:13" ht="15.75" x14ac:dyDescent="0.25">
      <c r="D50" s="414" t="s">
        <v>12</v>
      </c>
      <c r="E50" s="414"/>
      <c r="F50" s="414"/>
      <c r="I50"/>
      <c r="L50" s="415" t="s">
        <v>12</v>
      </c>
      <c r="M50" s="415"/>
    </row>
    <row r="51" spans="1:13" x14ac:dyDescent="0.2">
      <c r="C51" s="222" t="s">
        <v>98</v>
      </c>
      <c r="D51" s="238">
        <f>SUM(D13,F28)</f>
        <v>93.350099999999998</v>
      </c>
      <c r="E51" s="292"/>
      <c r="F51" s="238">
        <f>D51</f>
        <v>93.350099999999998</v>
      </c>
      <c r="G51" s="235"/>
      <c r="H51" s="235"/>
      <c r="I51" s="295"/>
      <c r="J51" s="235"/>
      <c r="K51" s="235"/>
      <c r="L51" s="238">
        <f>SUM(G15,F28)</f>
        <v>89.342964480000006</v>
      </c>
      <c r="M51" s="238">
        <f>SUM(I15,F28)</f>
        <v>74.100179999999995</v>
      </c>
    </row>
    <row r="52" spans="1:13" ht="15.75" x14ac:dyDescent="0.25">
      <c r="D52" s="417" t="s">
        <v>13</v>
      </c>
      <c r="E52" s="417"/>
      <c r="F52" s="417"/>
      <c r="G52" s="235"/>
      <c r="H52" s="235"/>
      <c r="I52" s="295"/>
      <c r="J52" s="235"/>
      <c r="K52" s="235"/>
      <c r="L52" s="416" t="s">
        <v>13</v>
      </c>
      <c r="M52" s="416"/>
    </row>
    <row r="53" spans="1:13" x14ac:dyDescent="0.2">
      <c r="D53" s="238">
        <f>SUM(I38:I40)</f>
        <v>7.1724290399999999</v>
      </c>
      <c r="E53" s="292"/>
      <c r="F53" s="238">
        <f>SUM(I43:I44)</f>
        <v>27.898229519999997</v>
      </c>
      <c r="G53" s="235"/>
      <c r="H53" s="296"/>
      <c r="I53" s="295"/>
      <c r="J53" s="235"/>
      <c r="K53" s="235"/>
      <c r="L53" s="238">
        <f>SUM(T38:T40)</f>
        <v>7.0882560000000003</v>
      </c>
      <c r="M53" s="238">
        <f>SUM(T43:T44)</f>
        <v>14.240016000000001</v>
      </c>
    </row>
    <row r="54" spans="1:13" x14ac:dyDescent="0.2">
      <c r="D54" s="292"/>
      <c r="E54" s="292"/>
      <c r="F54" s="292"/>
      <c r="G54" s="235"/>
      <c r="H54" s="235"/>
      <c r="I54" s="295"/>
      <c r="J54" s="235"/>
      <c r="K54" s="235"/>
      <c r="L54" s="297"/>
      <c r="M54" s="297"/>
    </row>
    <row r="55" spans="1:13" x14ac:dyDescent="0.2">
      <c r="C55" s="222" t="s">
        <v>102</v>
      </c>
      <c r="D55" s="238">
        <f>SUM(D51:D53)</f>
        <v>100.52252903999999</v>
      </c>
      <c r="E55" s="292"/>
      <c r="F55" s="238">
        <f>SUM(F51:F53)</f>
        <v>121.24832952</v>
      </c>
      <c r="G55" s="235"/>
      <c r="H55" s="296"/>
      <c r="I55" s="295"/>
      <c r="J55" s="235"/>
      <c r="K55" s="298" t="s">
        <v>102</v>
      </c>
      <c r="L55" s="238">
        <f>SUM(L51:L53)</f>
        <v>96.431220480000007</v>
      </c>
      <c r="M55" s="238">
        <f>SUM(M51:M53)</f>
        <v>88.340195999999992</v>
      </c>
    </row>
    <row r="56" spans="1:13" x14ac:dyDescent="0.2">
      <c r="D56" s="299"/>
      <c r="E56" s="299"/>
      <c r="F56" s="292"/>
      <c r="G56" s="235"/>
      <c r="H56" s="235"/>
      <c r="I56" s="295"/>
      <c r="J56" s="235"/>
      <c r="K56" s="235"/>
      <c r="L56" s="297"/>
      <c r="M56" s="297"/>
    </row>
    <row r="57" spans="1:13" ht="15.75" x14ac:dyDescent="0.25">
      <c r="D57" s="292"/>
      <c r="E57" s="292"/>
      <c r="F57" s="235"/>
      <c r="G57" s="235"/>
      <c r="H57" s="235"/>
      <c r="I57" s="300"/>
      <c r="J57" s="300"/>
      <c r="K57" s="301" t="s">
        <v>104</v>
      </c>
      <c r="L57" s="302">
        <f>L55-D55</f>
        <v>-4.0913085599999874</v>
      </c>
      <c r="M57" s="302">
        <f>M55-F55</f>
        <v>-32.908133520000007</v>
      </c>
    </row>
    <row r="58" spans="1:13" x14ac:dyDescent="0.2">
      <c r="L58" s="243">
        <f>L57/D55</f>
        <v>-4.0700414116839133E-2</v>
      </c>
      <c r="M58" s="243">
        <f>M57/F55</f>
        <v>-0.27141102603456313</v>
      </c>
    </row>
    <row r="60" spans="1:13" x14ac:dyDescent="0.2">
      <c r="L60" s="49"/>
    </row>
  </sheetData>
  <sheetProtection selectLockedCells="1"/>
  <mergeCells count="22">
    <mergeCell ref="D50:F50"/>
    <mergeCell ref="L50:M50"/>
    <mergeCell ref="L52:M52"/>
    <mergeCell ref="D52:F52"/>
    <mergeCell ref="C47:M47"/>
    <mergeCell ref="D48:F48"/>
    <mergeCell ref="L48:M48"/>
    <mergeCell ref="C3:D3"/>
    <mergeCell ref="F3:G3"/>
    <mergeCell ref="A17:G17"/>
    <mergeCell ref="D37:F37"/>
    <mergeCell ref="G37:I37"/>
    <mergeCell ref="E34:H34"/>
    <mergeCell ref="A38:A40"/>
    <mergeCell ref="A43:A44"/>
    <mergeCell ref="A31:I31"/>
    <mergeCell ref="L31:T31"/>
    <mergeCell ref="I4:I5"/>
    <mergeCell ref="H4:H5"/>
    <mergeCell ref="O37:Q37"/>
    <mergeCell ref="R37:T37"/>
    <mergeCell ref="L38:L40"/>
  </mergeCells>
  <conditionalFormatting sqref="L57:M57">
    <cfRule type="cellIs" dxfId="5" priority="2" operator="greaterThan">
      <formula>0</formula>
    </cfRule>
  </conditionalFormatting>
  <printOptions horizontalCentered="1" headings="1" gridLines="1"/>
  <pageMargins left="0" right="0" top="0.39370078740157483" bottom="0" header="0.11811023622047245" footer="0.51181102362204722"/>
  <pageSetup paperSize="9" scale="68" orientation="landscape" cellComments="asDisplayed" horizontalDpi="300" verticalDpi="300" r:id="rId1"/>
  <headerFooter alignWithMargins="0">
    <oddHeader>&amp;C&amp;F / &amp;A</oddHeader>
    <oddFooter>&amp;C&amp;1#&amp;"Arial"&amp;7&amp;K7f7f7fGeneral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MERCER 2012</vt:lpstr>
      <vt:lpstr>MERCER 2013</vt:lpstr>
      <vt:lpstr>MERCER 2014</vt:lpstr>
      <vt:lpstr>MERCER 2015 SITE</vt:lpstr>
      <vt:lpstr>GRAS SAVOYE 2016 SITE CE</vt:lpstr>
      <vt:lpstr>GRAS SAVOYE 2015</vt:lpstr>
      <vt:lpstr>GRAS SAVOYE 2015 +14%</vt:lpstr>
      <vt:lpstr>REVISIONS</vt:lpstr>
      <vt:lpstr>Comparatif 2017-2018</vt:lpstr>
      <vt:lpstr>REVISIONS 2018</vt:lpstr>
      <vt:lpstr>GRAS SAVOYE 2018</vt:lpstr>
      <vt:lpstr>GRAS SAVOYE 2025 SITE CE</vt:lpstr>
      <vt:lpstr>GRAS SAVOYE 2018 SITE CE (2)</vt:lpstr>
      <vt:lpstr>CADRE - NON CADRE</vt:lpstr>
      <vt:lpstr>GRAS_SAVOYE_2025</vt:lpstr>
      <vt:lpstr>REVISIONS!Zone_d_impression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lorandin</dc:creator>
  <cp:lastModifiedBy>Loisel, Eric</cp:lastModifiedBy>
  <cp:lastPrinted>2021-01-20T14:24:58Z</cp:lastPrinted>
  <dcterms:created xsi:type="dcterms:W3CDTF">2010-12-29T16:07:13Z</dcterms:created>
  <dcterms:modified xsi:type="dcterms:W3CDTF">2026-01-19T14:12:39Z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480757-a570-4f64-84e7-c5b3ffe9d573_Enabled">
    <vt:lpwstr>true</vt:lpwstr>
  </property>
  <property fmtid="{D5CDD505-2E9C-101B-9397-08002B2CF9AE}" pid="3" name="MSIP_Label_94480757-a570-4f64-84e7-c5b3ffe9d573_SetDate">
    <vt:lpwstr>2022-02-09T15:08:25Z</vt:lpwstr>
  </property>
  <property fmtid="{D5CDD505-2E9C-101B-9397-08002B2CF9AE}" pid="4" name="MSIP_Label_94480757-a570-4f64-84e7-c5b3ffe9d573_Method">
    <vt:lpwstr>Standard</vt:lpwstr>
  </property>
  <property fmtid="{D5CDD505-2E9C-101B-9397-08002B2CF9AE}" pid="5" name="MSIP_Label_94480757-a570-4f64-84e7-c5b3ffe9d573_Name">
    <vt:lpwstr>General</vt:lpwstr>
  </property>
  <property fmtid="{D5CDD505-2E9C-101B-9397-08002B2CF9AE}" pid="6" name="MSIP_Label_94480757-a570-4f64-84e7-c5b3ffe9d573_SiteId">
    <vt:lpwstr>2390cbd1-e663-4321-bc93-ba298637ce52</vt:lpwstr>
  </property>
  <property fmtid="{D5CDD505-2E9C-101B-9397-08002B2CF9AE}" pid="7" name="MSIP_Label_94480757-a570-4f64-84e7-c5b3ffe9d573_ActionId">
    <vt:lpwstr>4746ee81-4109-4ac0-98b0-98de670684cf</vt:lpwstr>
  </property>
  <property fmtid="{D5CDD505-2E9C-101B-9397-08002B2CF9AE}" pid="8" name="MSIP_Label_94480757-a570-4f64-84e7-c5b3ffe9d573_ContentBits">
    <vt:lpwstr>2</vt:lpwstr>
  </property>
</Properties>
</file>