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CE - CHSCT\CE\Mutuelle\TAUX\"/>
    </mc:Choice>
  </mc:AlternateContent>
  <bookViews>
    <workbookView xWindow="7668" yWindow="-12" windowWidth="7656" windowHeight="8520" tabRatio="924"/>
  </bookViews>
  <sheets>
    <sheet name="GRAS SAVOYE 2018 SITE CE" sheetId="16" r:id="rId1"/>
  </sheets>
  <definedNames>
    <definedName name="_xlnm._FilterDatabase" localSheetId="0" hidden="1">'GRAS SAVOYE 2018 SITE CE'!#REF!</definedName>
  </definedNames>
  <calcPr calcId="171027"/>
</workbook>
</file>

<file path=xl/calcChain.xml><?xml version="1.0" encoding="utf-8"?>
<calcChain xmlns="http://schemas.openxmlformats.org/spreadsheetml/2006/main">
  <c r="F10" i="16" l="1"/>
  <c r="E16" i="16" s="1"/>
  <c r="E22" i="16" l="1"/>
  <c r="J6" i="16" l="1"/>
  <c r="V29" i="16" l="1"/>
  <c r="U29" i="16"/>
  <c r="V28" i="16"/>
  <c r="U28" i="16"/>
  <c r="V27" i="16"/>
  <c r="U27" i="16"/>
  <c r="V26" i="16"/>
  <c r="U26" i="16"/>
  <c r="V25" i="16"/>
  <c r="U25" i="16"/>
  <c r="V24" i="16"/>
  <c r="U24" i="16"/>
  <c r="V23" i="16"/>
  <c r="U23" i="16"/>
  <c r="V22" i="16"/>
  <c r="U22" i="16"/>
  <c r="V21" i="16"/>
  <c r="U21" i="16"/>
  <c r="V20" i="16"/>
  <c r="U20" i="16"/>
  <c r="V19" i="16"/>
  <c r="U19" i="16"/>
  <c r="V18" i="16"/>
  <c r="U18" i="16"/>
  <c r="V17" i="16"/>
  <c r="U17" i="16"/>
  <c r="V16" i="16"/>
  <c r="U16" i="16"/>
  <c r="V15" i="16"/>
  <c r="U15" i="16"/>
  <c r="V14" i="16"/>
  <c r="U14" i="16"/>
  <c r="V13" i="16"/>
  <c r="U13" i="16"/>
  <c r="V12" i="16"/>
  <c r="U12" i="16"/>
  <c r="V11" i="16"/>
  <c r="U11" i="16"/>
  <c r="V10" i="16"/>
  <c r="U10" i="16"/>
  <c r="V9" i="16"/>
  <c r="U9" i="16"/>
  <c r="V8" i="16"/>
  <c r="U8" i="16"/>
  <c r="V7" i="16"/>
  <c r="Q14" i="16" l="1"/>
  <c r="N20" i="16"/>
  <c r="N14" i="16"/>
  <c r="Q6" i="16"/>
  <c r="N6" i="16"/>
  <c r="N9" i="16" s="1"/>
  <c r="O20" i="16"/>
  <c r="P20" i="16" s="1"/>
  <c r="M20" i="16"/>
  <c r="O19" i="16"/>
  <c r="P19" i="16" s="1"/>
  <c r="M19" i="16"/>
  <c r="O18" i="16"/>
  <c r="P18" i="16" s="1"/>
  <c r="M18" i="16"/>
  <c r="O14" i="16"/>
  <c r="P14" i="16" s="1"/>
  <c r="M14" i="16"/>
  <c r="O13" i="16"/>
  <c r="P13" i="16" s="1"/>
  <c r="M13" i="16"/>
  <c r="P12" i="16"/>
  <c r="M12" i="16"/>
  <c r="J9" i="16"/>
  <c r="Q18" i="16" s="1"/>
  <c r="Q9" i="16" l="1"/>
  <c r="Q20" i="16" s="1"/>
  <c r="Q12" i="16"/>
  <c r="Q19" i="16"/>
  <c r="N13" i="16"/>
  <c r="Q13" i="16"/>
  <c r="N19" i="16"/>
  <c r="N18" i="16"/>
  <c r="N12" i="16"/>
  <c r="E30" i="16" l="1"/>
  <c r="E26" i="16"/>
  <c r="D32" i="16"/>
  <c r="D31" i="16"/>
  <c r="D28" i="16"/>
  <c r="E28" i="16" s="1"/>
  <c r="D27" i="16"/>
  <c r="E27" i="16" s="1"/>
  <c r="F27" i="16" s="1"/>
  <c r="D22" i="16"/>
  <c r="D16" i="16"/>
  <c r="D20" i="16"/>
  <c r="E20" i="16" s="1"/>
  <c r="D19" i="16"/>
  <c r="E19" i="16" s="1"/>
  <c r="E13" i="16"/>
  <c r="D14" i="16"/>
  <c r="E14" i="16" s="1"/>
  <c r="D13" i="16"/>
  <c r="F9" i="16"/>
  <c r="C22" i="16"/>
  <c r="C21" i="16"/>
  <c r="D21" i="16" s="1"/>
  <c r="E21" i="16" s="1"/>
  <c r="C15" i="16"/>
  <c r="D15" i="16" s="1"/>
  <c r="E15" i="16" s="1"/>
  <c r="G27" i="16" l="1"/>
  <c r="E31" i="16"/>
  <c r="F31" i="16" s="1"/>
  <c r="E32" i="16"/>
  <c r="F15" i="16"/>
  <c r="G15" i="16" s="1"/>
  <c r="F21" i="16"/>
  <c r="G21" i="16" s="1"/>
  <c r="G31" i="16" l="1"/>
  <c r="G34" i="16" s="1"/>
  <c r="I29" i="16"/>
</calcChain>
</file>

<file path=xl/comments1.xml><?xml version="1.0" encoding="utf-8"?>
<comments xmlns="http://schemas.openxmlformats.org/spreadsheetml/2006/main">
  <authors>
    <author>Lorandin, Marc</author>
    <author>lorandin</author>
  </authors>
  <commentList>
    <comment ref="I8" authorId="0" shapeId="0">
      <text>
        <r>
          <rPr>
            <b/>
            <sz val="10"/>
            <color indexed="81"/>
            <rFont val="Tahoma"/>
            <family val="2"/>
          </rPr>
          <t>salaire Brut (heure sup, prime,…)</t>
        </r>
      </text>
    </comment>
    <comment ref="E10" authorId="0" shapeId="0">
      <text>
        <r>
          <rPr>
            <b/>
            <sz val="14"/>
            <color indexed="81"/>
            <rFont val="Tahoma"/>
            <family val="2"/>
          </rPr>
          <t>Conjoint : taper oui ou non</t>
        </r>
      </text>
    </comment>
    <comment ref="D26" authorId="1" shapeId="0">
      <text>
        <r>
          <rPr>
            <sz val="8"/>
            <color indexed="81"/>
            <rFont val="Tahoma"/>
            <family val="2"/>
          </rPr>
          <t>0,26% + 20% = 0,312% date:
0,312% + 20% = 0,374% date:
0,374% + 3,19% = 0,386% en 2013
0,372% + 4%ANI = 0,387% en 2014
0,387% - 2,23% = 0,378% Gras Savoye Avril 2015
suppression de la part employeur (4% ANI) pour 2018</t>
        </r>
      </text>
    </comment>
    <comment ref="D27" authorId="1" shapeId="0">
      <text>
        <r>
          <rPr>
            <sz val="8"/>
            <color indexed="81"/>
            <rFont val="Tahoma"/>
            <family val="2"/>
          </rPr>
          <t>0,% - 2,23% = 0,363% Gras Savoye Avril 2015</t>
        </r>
      </text>
    </comment>
    <comment ref="D28" authorId="1" shapeId="0">
      <text>
        <r>
          <rPr>
            <sz val="8"/>
            <color indexed="81"/>
            <rFont val="Tahoma"/>
            <family val="2"/>
          </rPr>
          <t>0,372% x 4% = 0,015% ANI 2014
0,015% - 2,23% = 0,015% Gras Savoye Avril 2015</t>
        </r>
      </text>
    </comment>
    <comment ref="D30" authorId="1" shapeId="0">
      <text>
        <r>
          <rPr>
            <sz val="8"/>
            <color indexed="81"/>
            <rFont val="Tahoma"/>
            <family val="2"/>
          </rPr>
          <t>0,10% + 20% = 0,12% date:
0,12% + 20% = 0,144% date:
0,14% + 3,19% = 0,144% en 2013
0,144% + 4%ANI = 0,149%  en 2014
0,150% - 2,23% = 0,147% Gras Savoye Avril 2015
suppression de la part employeur (4% ANI) pour 2018</t>
        </r>
      </text>
    </comment>
  </commentList>
</comments>
</file>

<file path=xl/sharedStrings.xml><?xml version="1.0" encoding="utf-8"?>
<sst xmlns="http://schemas.openxmlformats.org/spreadsheetml/2006/main" count="51" uniqueCount="37">
  <si>
    <t>PMSS:</t>
  </si>
  <si>
    <t>Régime de base</t>
  </si>
  <si>
    <t>Par adulte :</t>
  </si>
  <si>
    <t>Par enfant :</t>
  </si>
  <si>
    <t>FRAIS DE SANTE</t>
  </si>
  <si>
    <t>Part patronale</t>
  </si>
  <si>
    <t>Part salariale</t>
  </si>
  <si>
    <t>Famille/an</t>
  </si>
  <si>
    <t>Salarié</t>
  </si>
  <si>
    <t>Employeur</t>
  </si>
  <si>
    <t>salarié+enfant(s)</t>
  </si>
  <si>
    <t>Conjoint</t>
  </si>
  <si>
    <t>Tranche A</t>
  </si>
  <si>
    <t>Tranche B</t>
  </si>
  <si>
    <t>Tranche C</t>
  </si>
  <si>
    <t>CADRE</t>
  </si>
  <si>
    <t>NON CADRE</t>
  </si>
  <si>
    <t>TR A
de  0  à  PMSS</t>
  </si>
  <si>
    <t>valeur pour calcul :</t>
  </si>
  <si>
    <t>Participation employeur</t>
  </si>
  <si>
    <t>Participation CE</t>
  </si>
  <si>
    <t>Participation Salarié</t>
  </si>
  <si>
    <t>Option conjoint</t>
  </si>
  <si>
    <r>
      <t xml:space="preserve">Régime optionnel </t>
    </r>
    <r>
      <rPr>
        <sz val="12"/>
        <color rgb="FFFF0000"/>
        <rFont val="Arial"/>
        <family val="2"/>
      </rPr>
      <t>(Rappel : il s'applique pour toute la famille ou personne)</t>
    </r>
  </si>
  <si>
    <t>Nombre d'adulte(s)</t>
  </si>
  <si>
    <t>Nombre d'enfant(s)</t>
  </si>
  <si>
    <t>mensuel</t>
  </si>
  <si>
    <t>annuel</t>
  </si>
  <si>
    <t>GRAS SAVOYE 2018</t>
  </si>
  <si>
    <t>PREVOYANCE 2018</t>
  </si>
  <si>
    <t>PMSS</t>
  </si>
  <si>
    <t>OUI</t>
  </si>
  <si>
    <t>SALARIE CADRE</t>
  </si>
  <si>
    <t>SALARIE NON CADRE</t>
  </si>
  <si>
    <t>Total option / mois</t>
  </si>
  <si>
    <t>TR B
de PMSS à
4 x PMSS</t>
  </si>
  <si>
    <t>TR C
de 4 x PMSS à
8 x PMSS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</si>
</sst>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%"/>
    <numFmt numFmtId="165" formatCode="#,##0.00\ &quot;€&quot;"/>
    <numFmt numFmtId="166" formatCode="#,##0\ &quot;€&quot;"/>
    <numFmt numFmtId="167" formatCode="#,##0.00\ [$€-40C];\-#,##0.00\ [$€-40C]"/>
  </numFmts>
  <fonts count="15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81"/>
      <name val="Tahoma"/>
      <family val="2"/>
    </font>
    <font>
      <b/>
      <sz val="14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ill="1"/>
    <xf numFmtId="2" fontId="0" fillId="0" borderId="0" xfId="0" applyNumberFormat="1" applyFill="1" applyBorder="1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0" fontId="7" fillId="0" borderId="5" xfId="1" applyNumberFormat="1" applyFont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5" xfId="0" applyFont="1" applyBorder="1" applyAlignment="1">
      <alignment horizontal="center"/>
    </xf>
    <xf numFmtId="10" fontId="0" fillId="0" borderId="7" xfId="1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2" fontId="0" fillId="5" borderId="5" xfId="0" applyNumberFormat="1" applyFill="1" applyBorder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/>
    </xf>
    <xf numFmtId="10" fontId="0" fillId="0" borderId="5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0" fontId="0" fillId="0" borderId="13" xfId="1" applyNumberFormat="1" applyFont="1" applyBorder="1" applyAlignment="1">
      <alignment horizontal="center" vertical="center"/>
    </xf>
    <xf numFmtId="9" fontId="0" fillId="0" borderId="13" xfId="1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10" fontId="5" fillId="0" borderId="9" xfId="0" applyNumberFormat="1" applyFont="1" applyFill="1" applyBorder="1" applyAlignment="1" applyProtection="1">
      <alignment horizontal="center"/>
    </xf>
    <xf numFmtId="10" fontId="5" fillId="0" borderId="5" xfId="1" applyNumberFormat="1" applyFont="1" applyFill="1" applyBorder="1" applyAlignment="1" applyProtection="1">
      <alignment horizontal="center"/>
    </xf>
    <xf numFmtId="10" fontId="5" fillId="0" borderId="5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4" fillId="0" borderId="0" xfId="0" applyFont="1" applyFill="1" applyBorder="1"/>
    <xf numFmtId="0" fontId="0" fillId="0" borderId="0" xfId="0" applyBorder="1"/>
    <xf numFmtId="0" fontId="1" fillId="0" borderId="0" xfId="0" applyFont="1" applyBorder="1"/>
    <xf numFmtId="0" fontId="1" fillId="0" borderId="5" xfId="0" applyFont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Fill="1" applyBorder="1" applyAlignment="1" applyProtection="1">
      <alignment vertic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vertical="center"/>
    </xf>
    <xf numFmtId="165" fontId="1" fillId="6" borderId="1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165" fontId="0" fillId="6" borderId="5" xfId="0" applyNumberFormat="1" applyFill="1" applyBorder="1" applyAlignment="1" applyProtection="1">
      <alignment horizontal="center"/>
    </xf>
    <xf numFmtId="165" fontId="0" fillId="6" borderId="14" xfId="0" applyNumberFormat="1" applyFill="1" applyBorder="1" applyAlignment="1" applyProtection="1">
      <alignment horizontal="center"/>
    </xf>
    <xf numFmtId="165" fontId="0" fillId="6" borderId="9" xfId="0" applyNumberFormat="1" applyFill="1" applyBorder="1" applyAlignment="1" applyProtection="1">
      <alignment horizontal="center"/>
    </xf>
    <xf numFmtId="0" fontId="1" fillId="0" borderId="10" xfId="0" applyFont="1" applyBorder="1" applyAlignment="1">
      <alignment horizontal="right" vertical="center"/>
    </xf>
    <xf numFmtId="10" fontId="7" fillId="0" borderId="5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0" fontId="8" fillId="0" borderId="5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/>
    </xf>
    <xf numFmtId="9" fontId="0" fillId="0" borderId="5" xfId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/>
    <xf numFmtId="0" fontId="9" fillId="4" borderId="2" xfId="0" applyFont="1" applyFill="1" applyBorder="1" applyAlignment="1" applyProtection="1"/>
    <xf numFmtId="0" fontId="9" fillId="4" borderId="3" xfId="0" applyFont="1" applyFill="1" applyBorder="1" applyAlignment="1" applyProtection="1"/>
    <xf numFmtId="167" fontId="5" fillId="4" borderId="5" xfId="0" applyNumberFormat="1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right"/>
    </xf>
    <xf numFmtId="165" fontId="5" fillId="0" borderId="5" xfId="0" applyNumberFormat="1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right"/>
    </xf>
    <xf numFmtId="0" fontId="1" fillId="0" borderId="9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right"/>
    </xf>
    <xf numFmtId="164" fontId="0" fillId="0" borderId="5" xfId="0" applyNumberFormat="1" applyFill="1" applyBorder="1" applyAlignment="1" applyProtection="1">
      <alignment horizontal="center"/>
    </xf>
    <xf numFmtId="165" fontId="0" fillId="0" borderId="5" xfId="0" applyNumberFormat="1" applyFill="1" applyBorder="1" applyAlignment="1" applyProtection="1">
      <alignment horizontal="center"/>
    </xf>
    <xf numFmtId="9" fontId="0" fillId="0" borderId="5" xfId="0" applyNumberForma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165" fontId="0" fillId="0" borderId="0" xfId="0" applyNumberFormat="1" applyFill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left" vertical="center"/>
    </xf>
    <xf numFmtId="0" fontId="11" fillId="7" borderId="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65" fontId="5" fillId="6" borderId="5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zoomScale="90" zoomScaleNormal="90" workbookViewId="0">
      <selection activeCell="E10" sqref="E10"/>
    </sheetView>
  </sheetViews>
  <sheetFormatPr baseColWidth="10" defaultColWidth="11.44140625" defaultRowHeight="13.2" x14ac:dyDescent="0.25"/>
  <cols>
    <col min="1" max="1" width="2.88671875" style="33" customWidth="1"/>
    <col min="2" max="2" width="20.21875" style="34" bestFit="1" customWidth="1"/>
    <col min="3" max="3" width="15.6640625" style="35" customWidth="1"/>
    <col min="4" max="4" width="9.88671875" style="35" hidden="1" customWidth="1"/>
    <col min="5" max="5" width="14" style="33" customWidth="1"/>
    <col min="6" max="6" width="11.77734375" style="33" customWidth="1"/>
    <col min="7" max="7" width="11.77734375" style="33" hidden="1" customWidth="1"/>
    <col min="8" max="8" width="3" style="36" customWidth="1"/>
    <col min="9" max="9" width="16.44140625" style="33" bestFit="1" customWidth="1"/>
    <col min="10" max="10" width="16.77734375" style="33" customWidth="1"/>
    <col min="11" max="11" width="15.88671875" style="37" hidden="1" customWidth="1"/>
    <col min="12" max="12" width="16.88671875" style="37" hidden="1" customWidth="1"/>
    <col min="13" max="13" width="8.77734375" style="33" hidden="1" customWidth="1"/>
    <col min="14" max="14" width="16.77734375" style="33" customWidth="1"/>
    <col min="15" max="15" width="7.44140625" style="33" hidden="1" customWidth="1"/>
    <col min="16" max="16" width="0.21875" style="33" hidden="1" customWidth="1"/>
    <col min="17" max="17" width="16.77734375" style="33" customWidth="1"/>
    <col min="18" max="18" width="1.6640625" style="33" customWidth="1"/>
    <col min="19" max="22" width="0" style="33" hidden="1" customWidth="1"/>
    <col min="23" max="16384" width="11.44140625" style="33"/>
  </cols>
  <sheetData>
    <row r="1" spans="1:22" ht="13.8" thickBot="1" x14ac:dyDescent="0.3"/>
    <row r="2" spans="1:22" s="38" customFormat="1" ht="28.5" customHeight="1" thickBot="1" x14ac:dyDescent="0.3">
      <c r="A2" s="33"/>
      <c r="B2" s="119" t="s">
        <v>28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33"/>
      <c r="S2" s="33"/>
    </row>
    <row r="3" spans="1:22" ht="5.4" customHeight="1" thickBot="1" x14ac:dyDescent="0.3">
      <c r="H3" s="33"/>
      <c r="K3" s="33"/>
      <c r="L3" s="33"/>
    </row>
    <row r="4" spans="1:22" ht="29.25" customHeight="1" thickBot="1" x14ac:dyDescent="0.3">
      <c r="B4" s="119" t="s">
        <v>4</v>
      </c>
      <c r="C4" s="120"/>
      <c r="D4" s="120"/>
      <c r="E4" s="120"/>
      <c r="F4" s="121"/>
      <c r="G4" s="63"/>
      <c r="H4" s="48"/>
      <c r="I4" s="119" t="s">
        <v>29</v>
      </c>
      <c r="J4" s="120"/>
      <c r="K4" s="120"/>
      <c r="L4" s="120"/>
      <c r="M4" s="120"/>
      <c r="N4" s="120"/>
      <c r="O4" s="120"/>
      <c r="P4" s="120"/>
      <c r="Q4" s="121"/>
      <c r="S4" s="115" t="s">
        <v>30</v>
      </c>
      <c r="T4" s="116"/>
      <c r="U4" s="116"/>
      <c r="V4" s="117"/>
    </row>
    <row r="5" spans="1:22" ht="7.5" customHeight="1" thickBot="1" x14ac:dyDescent="0.3">
      <c r="B5" s="33"/>
      <c r="C5" s="33"/>
      <c r="D5" s="33"/>
      <c r="I5" s="34"/>
      <c r="J5" s="35"/>
      <c r="K5" s="35"/>
      <c r="L5" s="33"/>
      <c r="O5" s="63"/>
      <c r="P5" s="63"/>
      <c r="Q5" s="63"/>
    </row>
    <row r="6" spans="1:22" ht="18.75" customHeight="1" thickBot="1" x14ac:dyDescent="0.35">
      <c r="B6" s="39" t="s">
        <v>0</v>
      </c>
      <c r="C6" s="40">
        <v>3311</v>
      </c>
      <c r="D6" s="41"/>
      <c r="E6" s="42"/>
      <c r="I6" s="55"/>
      <c r="J6" s="59">
        <f>C6</f>
        <v>3311</v>
      </c>
      <c r="N6" s="59">
        <f>C6*4</f>
        <v>13244</v>
      </c>
      <c r="P6" s="14"/>
      <c r="Q6" s="59">
        <f>C6*8</f>
        <v>26488</v>
      </c>
      <c r="S6"/>
      <c r="T6" s="61" t="s">
        <v>26</v>
      </c>
      <c r="U6"/>
      <c r="V6" s="61" t="s">
        <v>27</v>
      </c>
    </row>
    <row r="7" spans="1:22" ht="69" customHeight="1" thickBot="1" x14ac:dyDescent="0.3">
      <c r="I7" s="20"/>
      <c r="J7" s="19" t="s">
        <v>17</v>
      </c>
      <c r="N7" s="19" t="s">
        <v>35</v>
      </c>
      <c r="P7" s="56"/>
      <c r="Q7" s="19" t="s">
        <v>36</v>
      </c>
      <c r="S7" s="11">
        <v>2001</v>
      </c>
      <c r="T7" s="11">
        <v>2279</v>
      </c>
      <c r="U7" s="11"/>
      <c r="V7" s="11">
        <f>T7*12</f>
        <v>27348</v>
      </c>
    </row>
    <row r="8" spans="1:22" ht="16.2" thickBot="1" x14ac:dyDescent="0.35">
      <c r="B8" s="87" t="s">
        <v>1</v>
      </c>
      <c r="C8" s="89"/>
      <c r="F8" s="92" t="s">
        <v>26</v>
      </c>
      <c r="I8" s="21"/>
      <c r="J8" s="109"/>
      <c r="K8" s="110"/>
      <c r="L8" s="110"/>
      <c r="M8" s="111"/>
      <c r="N8" s="109"/>
      <c r="O8" s="111"/>
      <c r="P8" s="112"/>
      <c r="Q8" s="109"/>
      <c r="S8" s="11">
        <v>2002</v>
      </c>
      <c r="T8" s="12">
        <v>2352</v>
      </c>
      <c r="U8" s="13">
        <f t="shared" ref="U8:U14" si="0">SUM((T8/T7)-1)</f>
        <v>3.2031592803861253E-2</v>
      </c>
      <c r="V8" s="12">
        <f t="shared" ref="V8:V29" si="1">T8*12</f>
        <v>28224</v>
      </c>
    </row>
    <row r="9" spans="1:22" ht="16.5" customHeight="1" thickBot="1" x14ac:dyDescent="0.3">
      <c r="B9" s="93" t="s">
        <v>10</v>
      </c>
      <c r="C9" s="49">
        <v>2.76E-2</v>
      </c>
      <c r="D9" s="94"/>
      <c r="E9" s="79"/>
      <c r="F9" s="90">
        <f>$C$6*C9</f>
        <v>91.383600000000001</v>
      </c>
      <c r="I9" s="71" t="s">
        <v>18</v>
      </c>
      <c r="J9" s="58">
        <f>IF(J8&gt;F8,"ERREUR",J8)</f>
        <v>0</v>
      </c>
      <c r="N9" s="10">
        <f>IF(N8&gt;N6,"ERREUR",N8-C6)</f>
        <v>-3311</v>
      </c>
      <c r="P9" s="57"/>
      <c r="Q9" s="10">
        <f>IF(Q8&gt;Q6,"ERREUR",Q8-N6)</f>
        <v>-13244</v>
      </c>
      <c r="S9" s="11">
        <v>2003</v>
      </c>
      <c r="T9" s="11">
        <v>2432</v>
      </c>
      <c r="U9" s="13">
        <f t="shared" si="0"/>
        <v>3.4013605442176909E-2</v>
      </c>
      <c r="V9" s="11">
        <f t="shared" si="1"/>
        <v>29184</v>
      </c>
    </row>
    <row r="10" spans="1:22" ht="13.8" thickBot="1" x14ac:dyDescent="0.3">
      <c r="A10" s="44"/>
      <c r="B10" s="95" t="s">
        <v>22</v>
      </c>
      <c r="C10" s="51">
        <v>1.41E-2</v>
      </c>
      <c r="D10" s="94"/>
      <c r="E10" s="113" t="s">
        <v>31</v>
      </c>
      <c r="F10" s="90">
        <f>IF(E10="oui",$C$6*C10,0)</f>
        <v>46.685099999999998</v>
      </c>
      <c r="I10" s="2"/>
      <c r="J10" s="1"/>
      <c r="K10" s="1"/>
      <c r="L10"/>
      <c r="M10"/>
      <c r="N10"/>
      <c r="O10" s="6"/>
      <c r="P10"/>
      <c r="Q10"/>
      <c r="S10" s="11">
        <v>2004</v>
      </c>
      <c r="T10" s="11">
        <v>2476</v>
      </c>
      <c r="U10" s="13">
        <f t="shared" si="0"/>
        <v>1.8092105263157965E-2</v>
      </c>
      <c r="V10" s="11">
        <f t="shared" si="1"/>
        <v>29712</v>
      </c>
    </row>
    <row r="11" spans="1:22" ht="13.8" thickBot="1" x14ac:dyDescent="0.3">
      <c r="A11" s="45"/>
      <c r="B11" s="46"/>
      <c r="C11" s="47"/>
      <c r="D11" s="47"/>
      <c r="E11" s="43"/>
      <c r="F11" s="43"/>
      <c r="I11" s="2"/>
      <c r="K11" s="62"/>
      <c r="M11" s="37"/>
      <c r="N11" s="83" t="s">
        <v>5</v>
      </c>
      <c r="O11" s="84"/>
      <c r="P11" s="85"/>
      <c r="Q11" s="86" t="s">
        <v>6</v>
      </c>
      <c r="S11" s="11">
        <v>2005</v>
      </c>
      <c r="T11" s="11">
        <v>2516</v>
      </c>
      <c r="U11" s="13">
        <f t="shared" si="0"/>
        <v>1.6155088852988664E-2</v>
      </c>
      <c r="V11" s="11">
        <f t="shared" si="1"/>
        <v>30192</v>
      </c>
    </row>
    <row r="12" spans="1:22" ht="13.8" thickBot="1" x14ac:dyDescent="0.3">
      <c r="A12" s="45"/>
      <c r="B12" s="105" t="s">
        <v>32</v>
      </c>
      <c r="C12" s="106"/>
      <c r="D12" s="107"/>
      <c r="E12" s="107"/>
      <c r="F12" s="43"/>
      <c r="I12" s="108" t="s">
        <v>15</v>
      </c>
      <c r="J12" s="17" t="s">
        <v>12</v>
      </c>
      <c r="K12" s="18">
        <v>1.44E-2</v>
      </c>
      <c r="L12" s="24">
        <v>1</v>
      </c>
      <c r="M12" s="25">
        <f>K12*L12</f>
        <v>1.44E-2</v>
      </c>
      <c r="N12" s="23" t="str">
        <f>IF($J$8="","",M12*$J$9)</f>
        <v/>
      </c>
      <c r="O12" s="82">
        <v>0</v>
      </c>
      <c r="P12" s="25">
        <f>O12*K12</f>
        <v>0</v>
      </c>
      <c r="Q12" s="22" t="str">
        <f>IF($J$8="","",P12*$J$9)</f>
        <v/>
      </c>
      <c r="S12" s="11">
        <v>2006</v>
      </c>
      <c r="T12" s="11">
        <v>2589</v>
      </c>
      <c r="U12" s="13">
        <f t="shared" si="0"/>
        <v>2.9014308426073221E-2</v>
      </c>
      <c r="V12" s="11">
        <f t="shared" si="1"/>
        <v>31068</v>
      </c>
    </row>
    <row r="13" spans="1:22" x14ac:dyDescent="0.25">
      <c r="A13" s="48"/>
      <c r="B13" s="93" t="s">
        <v>19</v>
      </c>
      <c r="C13" s="51">
        <v>0.5</v>
      </c>
      <c r="D13" s="50">
        <f>$C$9*C13</f>
        <v>1.38E-2</v>
      </c>
      <c r="E13" s="96">
        <f>$C$6*D13</f>
        <v>45.691800000000001</v>
      </c>
      <c r="F13" s="64"/>
      <c r="G13" s="65"/>
      <c r="I13" s="60"/>
      <c r="J13" s="17" t="s">
        <v>13</v>
      </c>
      <c r="K13" s="18">
        <v>1.6799999999999999E-2</v>
      </c>
      <c r="L13" s="24">
        <v>0.52</v>
      </c>
      <c r="M13" s="25">
        <f t="shared" ref="M13:M14" si="2">K13*L13</f>
        <v>8.735999999999999E-3</v>
      </c>
      <c r="N13" s="23" t="str">
        <f>IF($N$8="","",(M13*$N$9)+($C$6*M12))</f>
        <v/>
      </c>
      <c r="O13" s="82">
        <f>L12-L13</f>
        <v>0.48</v>
      </c>
      <c r="P13" s="25">
        <f t="shared" ref="P13:P14" si="3">O13*K13</f>
        <v>8.064E-3</v>
      </c>
      <c r="Q13" s="22" t="str">
        <f>IF($N$8="","",(P13*$N$9)+($C$6*P12))</f>
        <v/>
      </c>
      <c r="S13" s="11">
        <v>2007</v>
      </c>
      <c r="T13" s="11">
        <v>2682</v>
      </c>
      <c r="U13" s="13">
        <f t="shared" si="0"/>
        <v>3.5921205098493614E-2</v>
      </c>
      <c r="V13" s="11">
        <f t="shared" si="1"/>
        <v>32184</v>
      </c>
    </row>
    <row r="14" spans="1:22" x14ac:dyDescent="0.25">
      <c r="B14" s="95" t="s">
        <v>20</v>
      </c>
      <c r="C14" s="51">
        <v>3.32E-2</v>
      </c>
      <c r="D14" s="50">
        <f>$C$9*C14</f>
        <v>9.1631999999999998E-4</v>
      </c>
      <c r="E14" s="96">
        <f t="shared" ref="E14:E15" si="4">$C$6*D14</f>
        <v>3.03393552</v>
      </c>
      <c r="F14" s="66" t="s">
        <v>26</v>
      </c>
      <c r="G14" s="66" t="s">
        <v>27</v>
      </c>
      <c r="I14" s="60"/>
      <c r="J14" s="17" t="s">
        <v>14</v>
      </c>
      <c r="K14" s="18">
        <v>1.6799999999999999E-2</v>
      </c>
      <c r="L14" s="24">
        <v>0.52</v>
      </c>
      <c r="M14" s="25">
        <f t="shared" si="2"/>
        <v>8.735999999999999E-3</v>
      </c>
      <c r="N14" s="23" t="str">
        <f>IF($Q$8="","",(M14*$Q$9)+(($N$6-$C$6)*M13)+($C$6*M12))</f>
        <v/>
      </c>
      <c r="O14" s="82">
        <f>L12-L14</f>
        <v>0.48</v>
      </c>
      <c r="P14" s="25">
        <f t="shared" si="3"/>
        <v>8.064E-3</v>
      </c>
      <c r="Q14" s="22" t="str">
        <f>IF($Q$8="","",(P14*$Q$9)+(($N$6-$C$6)*P13)+($C$6*P12))</f>
        <v/>
      </c>
      <c r="S14" s="11">
        <v>2008</v>
      </c>
      <c r="T14" s="11">
        <v>2773</v>
      </c>
      <c r="U14" s="13">
        <f t="shared" si="0"/>
        <v>3.392990305741983E-2</v>
      </c>
      <c r="V14" s="11">
        <f t="shared" si="1"/>
        <v>33276</v>
      </c>
    </row>
    <row r="15" spans="1:22" x14ac:dyDescent="0.25">
      <c r="B15" s="95" t="s">
        <v>21</v>
      </c>
      <c r="C15" s="51">
        <f>C13-C14</f>
        <v>0.46679999999999999</v>
      </c>
      <c r="D15" s="50">
        <f>$C$9*C15</f>
        <v>1.288368E-2</v>
      </c>
      <c r="E15" s="96">
        <f t="shared" si="4"/>
        <v>42.657864480000001</v>
      </c>
      <c r="F15" s="118">
        <f>SUM(E15:E16)</f>
        <v>89.342964480000006</v>
      </c>
      <c r="G15" s="118">
        <f>F15*12</f>
        <v>1072.1155737600002</v>
      </c>
      <c r="I15" s="26"/>
      <c r="J15" s="27"/>
      <c r="K15" s="28"/>
      <c r="L15" s="29"/>
      <c r="M15" s="30"/>
      <c r="N15" s="31"/>
      <c r="O15" s="29"/>
      <c r="P15" s="30"/>
      <c r="Q15" s="31"/>
      <c r="S15" s="11">
        <v>2009</v>
      </c>
      <c r="T15" s="11">
        <v>2859</v>
      </c>
      <c r="U15" s="13">
        <f t="shared" ref="U15:U29" si="5">SUM((T15/T14)-1)</f>
        <v>3.101334294987379E-2</v>
      </c>
      <c r="V15" s="11">
        <f t="shared" si="1"/>
        <v>34308</v>
      </c>
    </row>
    <row r="16" spans="1:22" x14ac:dyDescent="0.25">
      <c r="B16" s="97" t="s">
        <v>11</v>
      </c>
      <c r="C16" s="51"/>
      <c r="D16" s="50">
        <f>IF($E$10="oui",0.0141,"")</f>
        <v>1.41E-2</v>
      </c>
      <c r="E16" s="96">
        <f>F10</f>
        <v>46.685099999999998</v>
      </c>
      <c r="F16" s="118"/>
      <c r="G16" s="118"/>
      <c r="I16" s="75"/>
      <c r="J16" s="3"/>
      <c r="K16" s="76"/>
      <c r="L16" s="77"/>
      <c r="M16" s="78"/>
      <c r="N16" s="15"/>
      <c r="O16" s="77"/>
      <c r="P16" s="32"/>
      <c r="Q16" s="15"/>
      <c r="S16" s="11">
        <v>2010</v>
      </c>
      <c r="T16" s="11">
        <v>2885</v>
      </c>
      <c r="U16" s="13">
        <f t="shared" si="5"/>
        <v>9.0940888422526012E-3</v>
      </c>
      <c r="V16" s="11">
        <f t="shared" si="1"/>
        <v>34620</v>
      </c>
    </row>
    <row r="17" spans="2:22" ht="13.8" thickBot="1" x14ac:dyDescent="0.3">
      <c r="B17" s="46"/>
      <c r="C17" s="47"/>
      <c r="D17" s="52"/>
      <c r="E17" s="67"/>
      <c r="F17" s="64"/>
      <c r="G17" s="65"/>
      <c r="S17" s="11">
        <v>2011</v>
      </c>
      <c r="T17" s="11">
        <v>2946</v>
      </c>
      <c r="U17" s="13">
        <f t="shared" si="5"/>
        <v>2.1143847487001821E-2</v>
      </c>
      <c r="V17" s="11">
        <f t="shared" si="1"/>
        <v>35352</v>
      </c>
    </row>
    <row r="18" spans="2:22" ht="13.8" thickBot="1" x14ac:dyDescent="0.3">
      <c r="B18" s="105" t="s">
        <v>33</v>
      </c>
      <c r="C18" s="106"/>
      <c r="D18" s="107"/>
      <c r="E18" s="107"/>
      <c r="F18" s="64"/>
      <c r="G18" s="65"/>
      <c r="I18" s="108" t="s">
        <v>16</v>
      </c>
      <c r="J18" s="17" t="s">
        <v>12</v>
      </c>
      <c r="K18" s="18">
        <v>1.44E-2</v>
      </c>
      <c r="L18" s="24">
        <v>0.85</v>
      </c>
      <c r="M18" s="25">
        <f>K18*L18</f>
        <v>1.2239999999999999E-2</v>
      </c>
      <c r="N18" s="23" t="str">
        <f>IF($J$8="","",M18*$J$9)</f>
        <v/>
      </c>
      <c r="O18" s="82">
        <f>L12-L18</f>
        <v>0.15000000000000002</v>
      </c>
      <c r="P18" s="25">
        <f>O18*K18</f>
        <v>2.1600000000000005E-3</v>
      </c>
      <c r="Q18" s="22" t="str">
        <f>IF($J$8="","",P18*$J$9)</f>
        <v/>
      </c>
      <c r="S18" s="11">
        <v>2012</v>
      </c>
      <c r="T18" s="11">
        <v>3031</v>
      </c>
      <c r="U18" s="13">
        <f t="shared" si="5"/>
        <v>2.8852681602172359E-2</v>
      </c>
      <c r="V18" s="11">
        <f t="shared" si="1"/>
        <v>36372</v>
      </c>
    </row>
    <row r="19" spans="2:22" x14ac:dyDescent="0.25">
      <c r="B19" s="95" t="s">
        <v>19</v>
      </c>
      <c r="C19" s="51">
        <v>0.5</v>
      </c>
      <c r="D19" s="50">
        <f>$C$9*C19</f>
        <v>1.38E-2</v>
      </c>
      <c r="E19" s="96">
        <f>$C$6*D19</f>
        <v>45.691800000000001</v>
      </c>
      <c r="F19" s="64"/>
      <c r="G19" s="65"/>
      <c r="I19" s="60"/>
      <c r="J19" s="17" t="s">
        <v>13</v>
      </c>
      <c r="K19" s="18">
        <v>1.6799999999999999E-2</v>
      </c>
      <c r="L19" s="24">
        <v>0.52</v>
      </c>
      <c r="M19" s="25">
        <f>K19*L19</f>
        <v>8.735999999999999E-3</v>
      </c>
      <c r="N19" s="23" t="str">
        <f>IF($N$8="","",(M19*$N$9)+($C$6*M18))</f>
        <v/>
      </c>
      <c r="O19" s="82">
        <f>L12-L19</f>
        <v>0.48</v>
      </c>
      <c r="P19" s="25">
        <f>O19*K19</f>
        <v>8.064E-3</v>
      </c>
      <c r="Q19" s="22" t="str">
        <f>IF($N$8="","",(P19*$N$9)+($C$6*P18))</f>
        <v/>
      </c>
      <c r="S19" s="11">
        <v>2013</v>
      </c>
      <c r="T19" s="11">
        <v>3086</v>
      </c>
      <c r="U19" s="13">
        <f t="shared" si="5"/>
        <v>1.8145826459914138E-2</v>
      </c>
      <c r="V19" s="11">
        <f t="shared" si="1"/>
        <v>37032</v>
      </c>
    </row>
    <row r="20" spans="2:22" x14ac:dyDescent="0.25">
      <c r="B20" s="95" t="s">
        <v>20</v>
      </c>
      <c r="C20" s="51">
        <v>0.2</v>
      </c>
      <c r="D20" s="50">
        <f>$C$9*C20</f>
        <v>5.5200000000000006E-3</v>
      </c>
      <c r="E20" s="96">
        <f t="shared" ref="E20:E21" si="6">$C$6*D20</f>
        <v>18.276720000000001</v>
      </c>
      <c r="F20" s="66" t="s">
        <v>26</v>
      </c>
      <c r="G20" s="66" t="s">
        <v>27</v>
      </c>
      <c r="I20" s="5"/>
      <c r="J20" s="17" t="s">
        <v>14</v>
      </c>
      <c r="K20" s="18">
        <v>1.6799999999999999E-2</v>
      </c>
      <c r="L20" s="24">
        <v>0.52</v>
      </c>
      <c r="M20" s="25">
        <f>K20*L20</f>
        <v>8.735999999999999E-3</v>
      </c>
      <c r="N20" s="23" t="str">
        <f>IF($Q$8="","",(M20*$Q$9)+(($N$6-$C$6)*M19)+($C$6*M18))</f>
        <v/>
      </c>
      <c r="O20" s="82">
        <f>L12-L20</f>
        <v>0.48</v>
      </c>
      <c r="P20" s="25">
        <f>O20*K20</f>
        <v>8.064E-3</v>
      </c>
      <c r="Q20" s="22" t="str">
        <f>IF($Q$8="","",(P20*$Q$9)+(($N$6-$C$6)*P19)+($C$6*P18))</f>
        <v/>
      </c>
      <c r="S20" s="11">
        <v>2014</v>
      </c>
      <c r="T20" s="11">
        <v>3129</v>
      </c>
      <c r="U20" s="13">
        <f t="shared" si="5"/>
        <v>1.393389500972142E-2</v>
      </c>
      <c r="V20" s="11">
        <f t="shared" si="1"/>
        <v>37548</v>
      </c>
    </row>
    <row r="21" spans="2:22" x14ac:dyDescent="0.25">
      <c r="B21" s="95" t="s">
        <v>21</v>
      </c>
      <c r="C21" s="51">
        <f>C19-C20</f>
        <v>0.3</v>
      </c>
      <c r="D21" s="50">
        <f>$C$9*C21</f>
        <v>8.2799999999999992E-3</v>
      </c>
      <c r="E21" s="96">
        <f t="shared" si="6"/>
        <v>27.415079999999996</v>
      </c>
      <c r="F21" s="118">
        <f>SUM(E21:E22)</f>
        <v>74.100179999999995</v>
      </c>
      <c r="G21" s="118">
        <f>F21*12</f>
        <v>889.20215999999994</v>
      </c>
      <c r="S21" s="11">
        <v>2015</v>
      </c>
      <c r="T21" s="11">
        <v>3170</v>
      </c>
      <c r="U21" s="13">
        <f t="shared" si="5"/>
        <v>1.3103227868328515E-2</v>
      </c>
      <c r="V21" s="11">
        <f t="shared" si="1"/>
        <v>38040</v>
      </c>
    </row>
    <row r="22" spans="2:22" x14ac:dyDescent="0.25">
      <c r="B22" s="97" t="s">
        <v>11</v>
      </c>
      <c r="C22" s="51" t="str">
        <f>IF($E$6="oui",$C$6,"")</f>
        <v/>
      </c>
      <c r="D22" s="50">
        <f>IF($E$10="oui",0.0141,"")</f>
        <v>1.41E-2</v>
      </c>
      <c r="E22" s="96">
        <f>F10</f>
        <v>46.685099999999998</v>
      </c>
      <c r="F22" s="118"/>
      <c r="G22" s="118"/>
      <c r="S22" s="11">
        <v>2016</v>
      </c>
      <c r="T22" s="11">
        <v>3218</v>
      </c>
      <c r="U22" s="13">
        <f t="shared" si="5"/>
        <v>1.5141955835962229E-2</v>
      </c>
      <c r="V22" s="11">
        <f t="shared" si="1"/>
        <v>38616</v>
      </c>
    </row>
    <row r="23" spans="2:22" ht="13.8" thickBot="1" x14ac:dyDescent="0.3">
      <c r="S23" s="12">
        <v>2017</v>
      </c>
      <c r="T23" s="12">
        <v>3269</v>
      </c>
      <c r="U23" s="72">
        <f t="shared" si="5"/>
        <v>1.5848353014294547E-2</v>
      </c>
      <c r="V23" s="12">
        <f t="shared" si="1"/>
        <v>39228</v>
      </c>
    </row>
    <row r="24" spans="2:22" ht="15.6" thickBot="1" x14ac:dyDescent="0.3">
      <c r="B24" s="87" t="s">
        <v>23</v>
      </c>
      <c r="C24" s="88"/>
      <c r="D24" s="88"/>
      <c r="E24" s="88"/>
      <c r="F24" s="88"/>
      <c r="G24" s="89"/>
      <c r="H24" s="81"/>
      <c r="I24" s="91"/>
      <c r="S24" s="73">
        <v>2018</v>
      </c>
      <c r="T24" s="73">
        <v>3321</v>
      </c>
      <c r="U24" s="74">
        <f t="shared" si="5"/>
        <v>1.5907005200367141E-2</v>
      </c>
      <c r="V24" s="73">
        <f t="shared" si="1"/>
        <v>39852</v>
      </c>
    </row>
    <row r="25" spans="2:22" s="79" customFormat="1" ht="15" x14ac:dyDescent="0.25">
      <c r="B25" s="98" t="s">
        <v>24</v>
      </c>
      <c r="C25" s="99"/>
      <c r="D25" s="99"/>
      <c r="E25" s="99"/>
      <c r="F25" s="54"/>
      <c r="G25" s="54"/>
      <c r="H25" s="53"/>
      <c r="K25" s="80"/>
      <c r="L25" s="80"/>
      <c r="S25" s="11">
        <v>2019</v>
      </c>
      <c r="T25" s="11"/>
      <c r="U25" s="13">
        <f t="shared" si="5"/>
        <v>-1</v>
      </c>
      <c r="V25" s="11">
        <f t="shared" si="1"/>
        <v>0</v>
      </c>
    </row>
    <row r="26" spans="2:22" x14ac:dyDescent="0.25">
      <c r="B26" s="114">
        <v>0</v>
      </c>
      <c r="C26" s="97" t="s">
        <v>2</v>
      </c>
      <c r="D26" s="100">
        <v>4.3319999999999999E-3</v>
      </c>
      <c r="E26" s="101">
        <f>$C$6*D26</f>
        <v>14.343252</v>
      </c>
      <c r="F26" s="65"/>
      <c r="G26" s="65"/>
      <c r="H26" s="54"/>
      <c r="S26" s="11">
        <v>2020</v>
      </c>
      <c r="T26" s="11"/>
      <c r="U26" s="13" t="e">
        <f t="shared" si="5"/>
        <v>#DIV/0!</v>
      </c>
      <c r="V26" s="11">
        <f t="shared" si="1"/>
        <v>0</v>
      </c>
    </row>
    <row r="27" spans="2:22" x14ac:dyDescent="0.25">
      <c r="B27" s="102">
        <v>1</v>
      </c>
      <c r="C27" s="95" t="s">
        <v>8</v>
      </c>
      <c r="D27" s="100">
        <f>D26*B27</f>
        <v>4.3319999999999999E-3</v>
      </c>
      <c r="E27" s="101">
        <f t="shared" ref="E27:E28" si="7">$C$6*D27</f>
        <v>14.343252</v>
      </c>
      <c r="F27" s="68">
        <f>E27*$B$26</f>
        <v>0</v>
      </c>
      <c r="G27" s="68">
        <f>E27*12*B26</f>
        <v>0</v>
      </c>
      <c r="H27" s="33"/>
      <c r="S27" s="11">
        <v>2021</v>
      </c>
      <c r="T27" s="11"/>
      <c r="U27" s="13" t="e">
        <f t="shared" si="5"/>
        <v>#DIV/0!</v>
      </c>
      <c r="V27" s="11">
        <f t="shared" si="1"/>
        <v>0</v>
      </c>
    </row>
    <row r="28" spans="2:22" x14ac:dyDescent="0.25">
      <c r="B28" s="102">
        <v>0</v>
      </c>
      <c r="C28" s="95" t="s">
        <v>9</v>
      </c>
      <c r="D28" s="100">
        <f>D26*B28</f>
        <v>0</v>
      </c>
      <c r="E28" s="101">
        <f t="shared" si="7"/>
        <v>0</v>
      </c>
      <c r="F28" s="65"/>
      <c r="G28" s="65"/>
      <c r="H28" s="33"/>
      <c r="I28" s="69" t="s">
        <v>34</v>
      </c>
      <c r="S28" s="11">
        <v>2022</v>
      </c>
      <c r="T28" s="11"/>
      <c r="U28" s="13" t="e">
        <f t="shared" si="5"/>
        <v>#DIV/0!</v>
      </c>
      <c r="V28" s="11">
        <f t="shared" si="1"/>
        <v>0</v>
      </c>
    </row>
    <row r="29" spans="2:22" x14ac:dyDescent="0.25">
      <c r="B29" s="103" t="s">
        <v>25</v>
      </c>
      <c r="C29" s="94"/>
      <c r="D29" s="94"/>
      <c r="E29" s="104"/>
      <c r="F29" s="65"/>
      <c r="G29" s="65"/>
      <c r="H29" s="33"/>
      <c r="I29" s="70">
        <f>SUM(F27,F31)</f>
        <v>0</v>
      </c>
      <c r="S29" s="11">
        <v>2023</v>
      </c>
      <c r="T29" s="11"/>
      <c r="U29" s="13" t="e">
        <f t="shared" si="5"/>
        <v>#DIV/0!</v>
      </c>
      <c r="V29" s="11">
        <f t="shared" si="1"/>
        <v>0</v>
      </c>
    </row>
    <row r="30" spans="2:22" x14ac:dyDescent="0.25">
      <c r="B30" s="114">
        <v>0</v>
      </c>
      <c r="C30" s="97" t="s">
        <v>3</v>
      </c>
      <c r="D30" s="100">
        <v>1.7099999999999999E-3</v>
      </c>
      <c r="E30" s="101">
        <f>$C$6*D30</f>
        <v>5.66181</v>
      </c>
      <c r="F30" s="65"/>
      <c r="G30" s="65"/>
      <c r="H30" s="33"/>
    </row>
    <row r="31" spans="2:22" x14ac:dyDescent="0.25">
      <c r="B31" s="102">
        <v>1</v>
      </c>
      <c r="C31" s="95" t="s">
        <v>8</v>
      </c>
      <c r="D31" s="100">
        <f>D30*B31</f>
        <v>1.7099999999999999E-3</v>
      </c>
      <c r="E31" s="101">
        <f>$C$6*D31</f>
        <v>5.66181</v>
      </c>
      <c r="F31" s="68">
        <f>E31*$B$30</f>
        <v>0</v>
      </c>
      <c r="G31" s="68">
        <f>E31*12*B30</f>
        <v>0</v>
      </c>
      <c r="H31" s="33"/>
    </row>
    <row r="32" spans="2:22" x14ac:dyDescent="0.25">
      <c r="B32" s="102">
        <v>0</v>
      </c>
      <c r="C32" s="95" t="s">
        <v>9</v>
      </c>
      <c r="D32" s="100">
        <f>D30*B32</f>
        <v>0</v>
      </c>
      <c r="E32" s="101">
        <f>$C$6*D32</f>
        <v>0</v>
      </c>
      <c r="F32" s="65"/>
      <c r="G32" s="65"/>
      <c r="H32" s="33"/>
    </row>
    <row r="33" spans="1:12" x14ac:dyDescent="0.25">
      <c r="E33" s="65"/>
      <c r="G33" s="69" t="s">
        <v>7</v>
      </c>
      <c r="H33" s="33"/>
    </row>
    <row r="34" spans="1:12" x14ac:dyDescent="0.25">
      <c r="E34" s="65"/>
      <c r="G34" s="70">
        <f>SUM(G27,G31)</f>
        <v>0</v>
      </c>
      <c r="H34" s="33"/>
    </row>
    <row r="35" spans="1:12" x14ac:dyDescent="0.25">
      <c r="H35" s="33"/>
    </row>
    <row r="36" spans="1:12" x14ac:dyDescent="0.25">
      <c r="H36" s="33"/>
    </row>
    <row r="39" spans="1:12" ht="7.2" customHeight="1" x14ac:dyDescent="0.25">
      <c r="K39" s="16"/>
      <c r="L39" s="16"/>
    </row>
    <row r="40" spans="1:12" x14ac:dyDescent="0.25">
      <c r="K40" s="1"/>
      <c r="L40" s="1"/>
    </row>
    <row r="41" spans="1:12" x14ac:dyDescent="0.25">
      <c r="K41" s="1"/>
      <c r="L41"/>
    </row>
    <row r="42" spans="1:12" ht="15.6" customHeight="1" x14ac:dyDescent="0.25">
      <c r="K42"/>
      <c r="L42"/>
    </row>
    <row r="43" spans="1:12" hidden="1" x14ac:dyDescent="0.25">
      <c r="K43" s="7"/>
      <c r="L43" s="7"/>
    </row>
    <row r="44" spans="1:12" x14ac:dyDescent="0.25">
      <c r="K44"/>
      <c r="L44"/>
    </row>
    <row r="45" spans="1:12" x14ac:dyDescent="0.25">
      <c r="A45"/>
      <c r="L45" s="33"/>
    </row>
    <row r="46" spans="1:12" x14ac:dyDescent="0.25">
      <c r="A46" s="62"/>
      <c r="L46" s="33"/>
    </row>
    <row r="47" spans="1:12" x14ac:dyDescent="0.25">
      <c r="A47" s="62"/>
      <c r="L47" s="33"/>
    </row>
    <row r="48" spans="1:12" x14ac:dyDescent="0.25">
      <c r="A48" s="62"/>
      <c r="L48" s="33"/>
    </row>
    <row r="49" spans="1:12" x14ac:dyDescent="0.25">
      <c r="A49" s="4"/>
      <c r="L49" s="33"/>
    </row>
    <row r="50" spans="1:12" x14ac:dyDescent="0.25">
      <c r="A50"/>
      <c r="L50" s="33"/>
    </row>
    <row r="51" spans="1:12" x14ac:dyDescent="0.25">
      <c r="A51" s="9"/>
      <c r="L51" s="33"/>
    </row>
    <row r="52" spans="1:12" x14ac:dyDescent="0.25">
      <c r="A52" s="9"/>
      <c r="L52" s="33"/>
    </row>
    <row r="53" spans="1:12" x14ac:dyDescent="0.25">
      <c r="A53"/>
      <c r="L53" s="33"/>
    </row>
    <row r="54" spans="1:12" x14ac:dyDescent="0.25">
      <c r="A54"/>
      <c r="B54" s="5"/>
      <c r="C54" s="5"/>
      <c r="D54"/>
      <c r="E54"/>
      <c r="F54"/>
      <c r="G54"/>
      <c r="H54"/>
      <c r="I54"/>
      <c r="J54" s="8"/>
      <c r="L54" s="33"/>
    </row>
  </sheetData>
  <sheetProtection sheet="1" selectLockedCells="1"/>
  <mergeCells count="8">
    <mergeCell ref="S4:V4"/>
    <mergeCell ref="F15:F16"/>
    <mergeCell ref="F21:F22"/>
    <mergeCell ref="B2:Q2"/>
    <mergeCell ref="I4:Q4"/>
    <mergeCell ref="B4:F4"/>
    <mergeCell ref="G15:G16"/>
    <mergeCell ref="G21:G22"/>
  </mergeCells>
  <conditionalFormatting sqref="E6">
    <cfRule type="cellIs" dxfId="0" priority="6" stopIfTrue="1" operator="greaterThan">
      <formula>#REF!</formula>
    </cfRule>
  </conditionalFormatting>
  <printOptions horizontalCentered="1"/>
  <pageMargins left="0" right="0" top="0.98425196850393704" bottom="0.98425196850393704" header="0.51181102362204722" footer="0.51181102362204722"/>
  <pageSetup paperSize="9" scale="96" orientation="portrait" cellComments="asDisplaye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GRAS SAVOYE 2018 SITE 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lorandin</dc:creator>
  <cp:lastModifiedBy>Lorandin, Marc</cp:lastModifiedBy>
  <cp:lastPrinted>2017-12-04T15:37:05Z</cp:lastPrinted>
  <dcterms:created xsi:type="dcterms:W3CDTF">2010-12-29T16:07:13Z</dcterms:created>
  <dcterms:modified xsi:type="dcterms:W3CDTF">2018-01-05T14:19:34Z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5bb0a3-90cf-41a8-939e-500b35438edf_Enabled">
    <vt:lpwstr>True</vt:lpwstr>
  </property>
  <property fmtid="{D5CDD505-2E9C-101B-9397-08002B2CF9AE}" pid="3" name="MSIP_Label_e35bb0a3-90cf-41a8-939e-500b35438edf_SiteId">
    <vt:lpwstr>2390cbd1-e663-4321-bc93-ba298637ce52</vt:lpwstr>
  </property>
  <property fmtid="{D5CDD505-2E9C-101B-9397-08002B2CF9AE}" pid="4" name="MSIP_Label_e35bb0a3-90cf-41a8-939e-500b35438edf_Ref">
    <vt:lpwstr>https://api.informationprotection.azure.com/api/2390cbd1-e663-4321-bc93-ba298637ce52</vt:lpwstr>
  </property>
  <property fmtid="{D5CDD505-2E9C-101B-9397-08002B2CF9AE}" pid="5" name="MSIP_Label_e35bb0a3-90cf-41a8-939e-500b35438edf_SetBy">
    <vt:lpwstr>102798@sidel.com</vt:lpwstr>
  </property>
  <property fmtid="{D5CDD505-2E9C-101B-9397-08002B2CF9AE}" pid="6" name="MSIP_Label_e35bb0a3-90cf-41a8-939e-500b35438edf_SetDate">
    <vt:lpwstr>2017-10-26T15:36:21.0332010+02:00</vt:lpwstr>
  </property>
  <property fmtid="{D5CDD505-2E9C-101B-9397-08002B2CF9AE}" pid="7" name="MSIP_Label_e35bb0a3-90cf-41a8-939e-500b35438edf_Name">
    <vt:lpwstr>Sidel-Confidential</vt:lpwstr>
  </property>
  <property fmtid="{D5CDD505-2E9C-101B-9397-08002B2CF9AE}" pid="8" name="MSIP_Label_e35bb0a3-90cf-41a8-939e-500b35438edf_Application">
    <vt:lpwstr>Microsoft Azure Information Protection</vt:lpwstr>
  </property>
  <property fmtid="{D5CDD505-2E9C-101B-9397-08002B2CF9AE}" pid="9" name="MSIP_Label_e35bb0a3-90cf-41a8-939e-500b35438edf_Extended_MSFT_Method">
    <vt:lpwstr>Automatic</vt:lpwstr>
  </property>
  <property fmtid="{D5CDD505-2E9C-101B-9397-08002B2CF9AE}" pid="10" name="MSIP_Label_06263584-a2fa-494a-b6ac-a3eeadb86bd0_Enabled">
    <vt:lpwstr>True</vt:lpwstr>
  </property>
  <property fmtid="{D5CDD505-2E9C-101B-9397-08002B2CF9AE}" pid="11" name="MSIP_Label_06263584-a2fa-494a-b6ac-a3eeadb86bd0_SiteId">
    <vt:lpwstr>2390cbd1-e663-4321-bc93-ba298637ce52</vt:lpwstr>
  </property>
  <property fmtid="{D5CDD505-2E9C-101B-9397-08002B2CF9AE}" pid="12" name="MSIP_Label_06263584-a2fa-494a-b6ac-a3eeadb86bd0_Ref">
    <vt:lpwstr>https://api.informationprotection.azure.com/api/2390cbd1-e663-4321-bc93-ba298637ce52</vt:lpwstr>
  </property>
  <property fmtid="{D5CDD505-2E9C-101B-9397-08002B2CF9AE}" pid="13" name="MSIP_Label_06263584-a2fa-494a-b6ac-a3eeadb86bd0_SetBy">
    <vt:lpwstr>102798@sidel.com</vt:lpwstr>
  </property>
  <property fmtid="{D5CDD505-2E9C-101B-9397-08002B2CF9AE}" pid="14" name="MSIP_Label_06263584-a2fa-494a-b6ac-a3eeadb86bd0_SetDate">
    <vt:lpwstr>2017-10-26T15:36:21.0332010+02:00</vt:lpwstr>
  </property>
  <property fmtid="{D5CDD505-2E9C-101B-9397-08002B2CF9AE}" pid="15" name="MSIP_Label_06263584-a2fa-494a-b6ac-a3eeadb86bd0_Name">
    <vt:lpwstr>Internal</vt:lpwstr>
  </property>
  <property fmtid="{D5CDD505-2E9C-101B-9397-08002B2CF9AE}" pid="16" name="MSIP_Label_06263584-a2fa-494a-b6ac-a3eeadb86bd0_Application">
    <vt:lpwstr>Microsoft Azure Information Protection</vt:lpwstr>
  </property>
  <property fmtid="{D5CDD505-2E9C-101B-9397-08002B2CF9AE}" pid="17" name="MSIP_Label_06263584-a2fa-494a-b6ac-a3eeadb86bd0_Extended_MSFT_Method">
    <vt:lpwstr>Automatic</vt:lpwstr>
  </property>
  <property fmtid="{D5CDD505-2E9C-101B-9397-08002B2CF9AE}" pid="18" name="MSIP_Label_06263584-a2fa-494a-b6ac-a3eeadb86bd0_Parent">
    <vt:lpwstr>e35bb0a3-90cf-41a8-939e-500b35438edf</vt:lpwstr>
  </property>
  <property fmtid="{D5CDD505-2E9C-101B-9397-08002B2CF9AE}" pid="19" name="Sensitivity">
    <vt:lpwstr>Sidel-Confidential Internal</vt:lpwstr>
  </property>
</Properties>
</file>